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15" windowHeight="10560" tabRatio="963" activeTab="14"/>
  </bookViews>
  <sheets>
    <sheet name="1.Főbb mutatók" sheetId="1" r:id="rId1"/>
    <sheet name="2.Bevételek 98-tól" sheetId="2" state="hidden" r:id="rId2"/>
    <sheet name="2aVagyonhaszn bevét 98-tól" sheetId="3" r:id="rId3"/>
    <sheet name="2b helyi adók" sheetId="4" r:id="rId4"/>
    <sheet name="3és 3a Kiadások 98-tól" sheetId="5" r:id="rId5"/>
    <sheet name="3b PH kiad " sheetId="6" r:id="rId6"/>
    <sheet name="Álláshelyek száma" sheetId="7" r:id="rId7"/>
    <sheet name="ellátottak " sheetId="8" r:id="rId8"/>
    <sheet name="Int  2007" sheetId="9" r:id="rId9"/>
    <sheet name="Int 2006" sheetId="10" r:id="rId10"/>
    <sheet name="Int.2005" sheetId="11" r:id="rId11"/>
    <sheet name="1 ell.jutó 2007" sheetId="12" r:id="rId12"/>
    <sheet name="1 ell.jutó 2006" sheetId="13" r:id="rId13"/>
    <sheet name="1 ell.jutó 2005" sheetId="14" r:id="rId14"/>
    <sheet name="mutatók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GDP" localSheetId="13">'[3]Háttéradatok'!$B$22:$AG$28</definedName>
    <definedName name="GDP" localSheetId="12">'[3]Háttéradatok'!$B$22:$AG$28</definedName>
    <definedName name="GDP" localSheetId="11">'[3]Háttéradatok'!$B$22:$AG$28</definedName>
    <definedName name="GDP" localSheetId="6">'[3]Háttéradatok'!$B$22:$AG$28</definedName>
    <definedName name="GDP" localSheetId="7">'[3]Háttéradatok'!$B$22:$AG$28</definedName>
    <definedName name="GDP" localSheetId="8">'[3]Háttéradatok'!$B$22:$AG$28</definedName>
    <definedName name="GDP" localSheetId="9">'[3]Háttéradatok'!$B$22:$AG$28</definedName>
    <definedName name="GDP" localSheetId="10">'[3]Háttéradatok'!$B$22:$AG$28</definedName>
    <definedName name="GDP" localSheetId="14">'[3]Háttéradatok'!$B$22:$AG$28</definedName>
    <definedName name="GDP">'[2]Háttéradatok'!$B$22:$AG$28</definedName>
    <definedName name="gdpp">'[4]Háttéradatok'!$B$22:$AG$28</definedName>
    <definedName name="intézmény">'[3]Háttéradatok'!$C$29:$AG$32</definedName>
    <definedName name="nep">'[3]Háttéradatok'!$C$29:$AG$32</definedName>
    <definedName name="nép" localSheetId="13">'[3]Háttéradatok'!$C$29:$AG$32</definedName>
    <definedName name="nép" localSheetId="12">'[3]Háttéradatok'!$C$29:$AG$32</definedName>
    <definedName name="nép" localSheetId="11">'[3]Háttéradatok'!$C$29:$AG$32</definedName>
    <definedName name="nép" localSheetId="6">'[3]Háttéradatok'!$C$29:$AG$32</definedName>
    <definedName name="nép" localSheetId="7">'[3]Háttéradatok'!$C$29:$AG$32</definedName>
    <definedName name="nép" localSheetId="8">'[3]Háttéradatok'!$C$29:$AG$32</definedName>
    <definedName name="nép" localSheetId="9">'[3]Háttéradatok'!$C$29:$AG$32</definedName>
    <definedName name="nép" localSheetId="10">'[3]Háttéradatok'!$C$29:$AG$32</definedName>
    <definedName name="nép" localSheetId="14">'[3]Háttéradatok'!$C$29:$AG$32</definedName>
    <definedName name="nép">'[2]Háttéradatok'!$C$29:$AG$32</definedName>
    <definedName name="_xlnm.Print_Titles" localSheetId="13">'1 ell.jutó 2005'!$3:$3</definedName>
    <definedName name="_xlnm.Print_Titles" localSheetId="12">'1 ell.jutó 2006'!$5:$5</definedName>
    <definedName name="_xlnm.Print_Titles" localSheetId="11">'1 ell.jutó 2007'!$4:$4</definedName>
    <definedName name="_xlnm.Print_Titles" localSheetId="6">'Álláshelyek száma'!$5:$6</definedName>
    <definedName name="_xlnm.Print_Titles" localSheetId="7">'ellátottak '!$4:$5</definedName>
    <definedName name="_xlnm.Print_Titles" localSheetId="8">'Int  2007'!$4:$6</definedName>
    <definedName name="_xlnm.Print_Titles" localSheetId="9">'Int 2006'!$5:$7</definedName>
    <definedName name="_xlnm.Print_Titles" localSheetId="10">'Int.2005'!$4:$7</definedName>
    <definedName name="_xlnm.Print_Area" localSheetId="13">'1 ell.jutó 2005'!$A$1:$N$56</definedName>
    <definedName name="_xlnm.Print_Area" localSheetId="12">'1 ell.jutó 2006'!$A$1:$N$54</definedName>
    <definedName name="_xlnm.Print_Area" localSheetId="11">'1 ell.jutó 2007'!$A$1:$N$50</definedName>
    <definedName name="_xlnm.Print_Area" localSheetId="1">'2.Bevételek 98-tól'!$A$1:$M$50</definedName>
    <definedName name="_xlnm.Print_Area" localSheetId="2">'2aVagyonhaszn bevét 98-tól'!$A$1:$M$85</definedName>
    <definedName name="_xlnm.Print_Area" localSheetId="3">'2b helyi adók'!$A$1:$Q$42</definedName>
    <definedName name="_xlnm.Print_Area" localSheetId="5">'3b PH kiad '!$A$1:$J$210</definedName>
    <definedName name="_xlnm.Print_Area" localSheetId="4">'3és 3a Kiadások 98-tól'!$A$1:$K$202</definedName>
    <definedName name="_xlnm.Print_Area" localSheetId="6">'Álláshelyek száma'!$A$1:$E$66</definedName>
    <definedName name="_xlnm.Print_Area" localSheetId="7">'ellátottak '!$A$1:$E$51</definedName>
    <definedName name="_xlnm.Print_Area" localSheetId="8">'Int  2007'!$A$1:$J$44</definedName>
    <definedName name="_xlnm.Print_Area" localSheetId="9">'Int 2006'!$A$1:$J$48</definedName>
    <definedName name="_xlnm.Print_Area" localSheetId="10">'Int.2005'!$A$1:$J$52</definedName>
    <definedName name="_xlnm.Print_Area" localSheetId="14">'mutatók'!$A$1:$M$82</definedName>
    <definedName name="xxx">'[3]Háttéradatok'!$C$29:$AG$32</definedName>
    <definedName name="xxxxxx" localSheetId="13">'[3]Háttéradatok'!$C$29:$AG$32</definedName>
    <definedName name="xxxxxx" localSheetId="12">'[3]Háttéradatok'!$C$29:$AG$32</definedName>
    <definedName name="xxxxxx" localSheetId="11">'[3]Háttéradatok'!$C$29:$AG$32</definedName>
    <definedName name="xxxxxx" localSheetId="6">'[3]Háttéradatok'!$C$29:$AG$32</definedName>
    <definedName name="xxxxxx" localSheetId="7">'[3]Háttéradatok'!$C$29:$AG$32</definedName>
    <definedName name="xxxxxx" localSheetId="8">'[3]Háttéradatok'!$C$29:$AG$32</definedName>
    <definedName name="xxxxxx" localSheetId="9">'[3]Háttéradatok'!$C$29:$AG$32</definedName>
    <definedName name="xxxxxx" localSheetId="10">'[3]Háttéradatok'!$C$29:$AG$32</definedName>
    <definedName name="xxxxxx" localSheetId="14">'[3]Háttéradatok'!$C$29:$AG$32</definedName>
    <definedName name="xxxxxx">'[2]Háttéradatok'!$C$29:$AG$32</definedName>
  </definedNames>
  <calcPr fullCalcOnLoad="1"/>
</workbook>
</file>

<file path=xl/sharedStrings.xml><?xml version="1.0" encoding="utf-8"?>
<sst xmlns="http://schemas.openxmlformats.org/spreadsheetml/2006/main" count="1175" uniqueCount="392">
  <si>
    <t xml:space="preserve"> </t>
  </si>
  <si>
    <t>2006. év</t>
  </si>
  <si>
    <t>2008. év</t>
  </si>
  <si>
    <t>2008. terv</t>
  </si>
  <si>
    <t>jó</t>
  </si>
  <si>
    <t>1998. év</t>
  </si>
  <si>
    <t>1999. év</t>
  </si>
  <si>
    <t>2000. év</t>
  </si>
  <si>
    <t>2001. év</t>
  </si>
  <si>
    <t>2002. év</t>
  </si>
  <si>
    <t>2007. év</t>
  </si>
  <si>
    <t>adatok ezer Ft-ban</t>
  </si>
  <si>
    <t>adatok millió Ft-ban</t>
  </si>
  <si>
    <t>Arány %</t>
  </si>
  <si>
    <t>Államtól működésre kapott millió Ft</t>
  </si>
  <si>
    <t>Intézményi bér és járulék millió Ft</t>
  </si>
  <si>
    <t>Az  összes bér és járulékkiadás  aránya az államtól működére kapott támogatáson belül 2000-2006</t>
  </si>
  <si>
    <t xml:space="preserve">Önkormányzati bér és járulék </t>
  </si>
  <si>
    <t>Az intézményi bér és járulékkiadás  aránya az államtól működére kapott támogatáson belül 2000-2006</t>
  </si>
  <si>
    <t>3/a. melléklet</t>
  </si>
  <si>
    <t>Megnevezése</t>
  </si>
  <si>
    <t>grafikonhoz</t>
  </si>
  <si>
    <t>2006 terv</t>
  </si>
  <si>
    <t>terv adat</t>
  </si>
  <si>
    <t>Ezer Ft</t>
  </si>
  <si>
    <t>Beszámoló adatai tényleges kiadások</t>
  </si>
  <si>
    <t>Bér és járulék</t>
  </si>
  <si>
    <t>Felhalmozási kiadás</t>
  </si>
  <si>
    <t>Működési kiadás</t>
  </si>
  <si>
    <t>Kiadások összesen</t>
  </si>
  <si>
    <t>Intézményi bér és járulék</t>
  </si>
  <si>
    <t>Intézményi felhalmozási kiadás</t>
  </si>
  <si>
    <t>Intézményi működési kiadás</t>
  </si>
  <si>
    <t>Intézményi kiadás összesen</t>
  </si>
  <si>
    <t>Bér és járulék arány</t>
  </si>
  <si>
    <t>Felhalmozási arány</t>
  </si>
  <si>
    <t>Működési arány</t>
  </si>
  <si>
    <t>Összesen</t>
  </si>
  <si>
    <t>Kiadások összesenből</t>
  </si>
  <si>
    <t xml:space="preserve">Intézményi bér és járulék </t>
  </si>
  <si>
    <t>Önkormányzati kiadások összetételének aránya 1998-2006</t>
  </si>
  <si>
    <t>Az összes kiadáson belül az intézményi kiadások aránya 2000-2006</t>
  </si>
  <si>
    <t>Intézményi kiadások összetételének aránya 2000-2006</t>
  </si>
  <si>
    <t>Önkormányzati kiadásból intézményi kiadás 2000-2006</t>
  </si>
  <si>
    <t>Az összes kiadáson belül intézményi</t>
  </si>
  <si>
    <t>Intézményi kiadás aránya</t>
  </si>
  <si>
    <t>Megnevezés</t>
  </si>
  <si>
    <t>2003. év</t>
  </si>
  <si>
    <t>2004. év</t>
  </si>
  <si>
    <t>2005. év</t>
  </si>
  <si>
    <t>Tény adatok</t>
  </si>
  <si>
    <t>Államtól működésre kapott támogatás</t>
  </si>
  <si>
    <t>Az összes kiadáson belül intézményi kiadás</t>
  </si>
  <si>
    <t>Államtól működésre kapott (millió Ft)</t>
  </si>
  <si>
    <t>Szolnok Megyei Jogú Város Önkormányzat kiadásai összesen 2000-2007. években</t>
  </si>
  <si>
    <t>Szolnok Megyei Jogú Város Önkormányzati kiadás összetételének aránya 2000-2007. években</t>
  </si>
  <si>
    <t>Az  összes bér-és járulék kiadás  aránya az államtól működésre kapott támogatáson belül 2000-2007. években</t>
  </si>
  <si>
    <t>Önkormányzat kiadásából intézményi kiadás 2000-2007. években</t>
  </si>
  <si>
    <t>Intézményi kiadások összetételének aránya 2000-2007. években</t>
  </si>
  <si>
    <t>Az összes kiadáson belül az intézményi kiadások aránya 2000-2007. években</t>
  </si>
  <si>
    <t>Az intézményi bér és járulékkiadás  aránya az államtól működére kapott támogatáson belül 2000-2007. években</t>
  </si>
  <si>
    <t>Szolnok Megyei Jogú Város Polgármesteri Hivatal kiadásai 2000-2007. években</t>
  </si>
  <si>
    <t xml:space="preserve">Szolnok Megyei Jogú Város Önkormányzatának </t>
  </si>
  <si>
    <t xml:space="preserve">Megnevezés </t>
  </si>
  <si>
    <t>2006. évi tény</t>
  </si>
  <si>
    <t>2007. évi tény</t>
  </si>
  <si>
    <t>A település állandó lakosainak száma (fő) az év január 1-jén</t>
  </si>
  <si>
    <t>Hitel / Kötvény igénybevétel</t>
  </si>
  <si>
    <t>Az egy lakosra jutó hitelfelvétel</t>
  </si>
  <si>
    <t>Az összes költségvetési bevétel</t>
  </si>
  <si>
    <t xml:space="preserve">     Ebből: Önkormányzati saját bevétel, melyből </t>
  </si>
  <si>
    <t xml:space="preserve">                  helyi adóbevétel </t>
  </si>
  <si>
    <t xml:space="preserve">Az egy lakosra jutó összes költségvetési bevétel </t>
  </si>
  <si>
    <t xml:space="preserve">Az egy lakosra jutó saját bevétel </t>
  </si>
  <si>
    <t xml:space="preserve">Az egy lakosra jutó helyi adóbevétel </t>
  </si>
  <si>
    <t>Saját bevétel / Összes költségvetési bevétel (%)</t>
  </si>
  <si>
    <t>Helyi adó bevétel / Összes költségvetési bevétel (%)</t>
  </si>
  <si>
    <t>Az összes tényleges  költségvetési kiadás</t>
  </si>
  <si>
    <t xml:space="preserve">     Ebből: felhalmozási célú kiadás </t>
  </si>
  <si>
    <t>Az összes költségvetési kiadásból a felhalmozási kiadás részaránya (%)</t>
  </si>
  <si>
    <t xml:space="preserve">Az egy lakosra jutó költségvetési kiadás </t>
  </si>
  <si>
    <t xml:space="preserve">Az egy lakosra jutó felhalmozási kiadás </t>
  </si>
  <si>
    <t xml:space="preserve">Az Önkormányzat által fenntartott költségvetési intézmények száma </t>
  </si>
  <si>
    <t xml:space="preserve">     Ebből: részben önállóan gazdálkodó (db)</t>
  </si>
  <si>
    <t>Az Önkormányzat által fenntartott költségvetési intézményekben foglalkoztatott alkalmazottak száma december 31-én (fő)</t>
  </si>
  <si>
    <t>Szolnok Megyei Jogú Város Önkormányzat bevételei 1998-2007. években</t>
  </si>
  <si>
    <t>T é n y adatok</t>
  </si>
  <si>
    <t>Változás %</t>
  </si>
  <si>
    <t>2007.                      tény</t>
  </si>
  <si>
    <t>2008.            terv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</si>
  <si>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</si>
  <si>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</si>
  <si>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</si>
  <si>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</si>
  <si>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</si>
  <si>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</si>
  <si>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</si>
  <si>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</si>
  <si>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</si>
  <si>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2006/1998.</t>
  </si>
  <si>
    <t>Saját önkormányzati bevételek</t>
  </si>
  <si>
    <t>Átengedett (SZJA, Gépjármű adó)</t>
  </si>
  <si>
    <t>Állami támogatások működésre</t>
  </si>
  <si>
    <t>Átvett pénzeszközök működésre</t>
  </si>
  <si>
    <t>Államtól működésre kapott pe. össz.</t>
  </si>
  <si>
    <t>Államtól fejlesztésre kapott pénze.</t>
  </si>
  <si>
    <t>Egyéb fejlesztésre átvett pe.</t>
  </si>
  <si>
    <t>Pénzügyi (technikai) elszámolás</t>
  </si>
  <si>
    <t>Bevételek mindösszesen</t>
  </si>
  <si>
    <t>Bevételek szerkezete 1998-2007. években</t>
  </si>
  <si>
    <t>2007.       tény</t>
  </si>
  <si>
    <t>2008.        terv</t>
  </si>
  <si>
    <t>Saját bevételek</t>
  </si>
  <si>
    <t>Egyéb fejlesztésre átvett pénze.</t>
  </si>
  <si>
    <t>Grafikonhoz</t>
  </si>
  <si>
    <t>Államtól működésre kapott össz.</t>
  </si>
  <si>
    <t>Államtól fejlesztésre kapott össz.</t>
  </si>
  <si>
    <t>Egyéb fejlesztésre átvett</t>
  </si>
  <si>
    <t>Hitel</t>
  </si>
  <si>
    <t>Szolnok Megyei Jogú Város Önkormányzat helyi adóbevételeinek néhány adata 1998 - 2007. években</t>
  </si>
  <si>
    <t>T é n y</t>
  </si>
  <si>
    <t>Iparűzési adó mértéke</t>
  </si>
  <si>
    <t>törvényi szabályozás szerinti felső határ</t>
  </si>
  <si>
    <t>helyi rendelet szerint alkalmazott adókulcs</t>
  </si>
  <si>
    <t>Építmányadó mértéke</t>
  </si>
  <si>
    <t>Költségvetésben teljesült/tervezett adóbevétel (millió Ft-ban)</t>
  </si>
  <si>
    <t xml:space="preserve">iparűzési adóból befolyt/várható összeg </t>
  </si>
  <si>
    <t>iparűzési adót fizetők száma</t>
  </si>
  <si>
    <t>építmény adóból befolyt összeg</t>
  </si>
  <si>
    <t>építmény adót fizetők száma</t>
  </si>
  <si>
    <t>2008.terv</t>
  </si>
  <si>
    <t>iparűzési adóból befolyt összeg (mFt )</t>
  </si>
  <si>
    <t>építmény adóból befolyt összeg (mFt )</t>
  </si>
  <si>
    <r>
      <t>900 Ft/m</t>
    </r>
    <r>
      <rPr>
        <vertAlign val="superscript"/>
        <sz val="10"/>
        <rFont val="Times New Roman"/>
        <family val="1"/>
      </rPr>
      <t>2</t>
    </r>
  </si>
  <si>
    <r>
      <t>200 Ft/m</t>
    </r>
    <r>
      <rPr>
        <vertAlign val="superscript"/>
        <sz val="10"/>
        <rFont val="Times New Roman"/>
        <family val="1"/>
      </rPr>
      <t>2</t>
    </r>
  </si>
  <si>
    <r>
      <t>500 Ft/m</t>
    </r>
    <r>
      <rPr>
        <vertAlign val="superscript"/>
        <sz val="10"/>
        <rFont val="Times New Roman"/>
        <family val="1"/>
      </rPr>
      <t>2</t>
    </r>
  </si>
  <si>
    <t>Szolnok Megyei Jogú Város Önkormányzatának vagyonhasznosításból származó bevételeinek összege 1998-2007. években</t>
  </si>
  <si>
    <t>Sorsz.</t>
  </si>
  <si>
    <t xml:space="preserve"> Költségvetési beszámoló adatai</t>
  </si>
  <si>
    <t>2008. évi terv adat</t>
  </si>
  <si>
    <t>Telekértékesítés</t>
  </si>
  <si>
    <t>Helyiségértékesítés</t>
  </si>
  <si>
    <t>Lakás, egyéb vagyon eladás</t>
  </si>
  <si>
    <t>Ingatlan értékesítés összesen (1+2+3)</t>
  </si>
  <si>
    <t>Üzletrész és értékpapír értékesítés</t>
  </si>
  <si>
    <t>Vagyon értékesítés összesen (4+5)</t>
  </si>
  <si>
    <t>Helyiségbérleti díjak</t>
  </si>
  <si>
    <t>Osztalék</t>
  </si>
  <si>
    <t>Koncessziós díj</t>
  </si>
  <si>
    <t>Vagyonhasznosítási bevételek mindösszesen (6+7+8+9)</t>
  </si>
  <si>
    <t xml:space="preserve">Szolnok Megyei Jogú Város Önkormányzatának vagyonhasznosításból származó tényleges bevételeinek szerkezete 1998-2007. években </t>
  </si>
  <si>
    <t>1998.év</t>
  </si>
  <si>
    <t>1999.év</t>
  </si>
  <si>
    <t>2000.év</t>
  </si>
  <si>
    <t>2001.év</t>
  </si>
  <si>
    <t>2002.év</t>
  </si>
  <si>
    <t>2003.év</t>
  </si>
  <si>
    <t>2004.év</t>
  </si>
  <si>
    <t>2005.év</t>
  </si>
  <si>
    <t>2006.év</t>
  </si>
  <si>
    <t>2007.év</t>
  </si>
  <si>
    <t>2008.év</t>
  </si>
  <si>
    <t>Ingatlan értékesítés összesen</t>
  </si>
  <si>
    <t>Egyéb vagyonhasznosítási bevétel</t>
  </si>
  <si>
    <t>Szolnok Megyei Jogú Város intézményei költségvetésének forrásösszetétele</t>
  </si>
  <si>
    <t>Intézmények megnevezése</t>
  </si>
  <si>
    <t>Normatív állami hozzájárulás</t>
  </si>
  <si>
    <t>Intézményi</t>
  </si>
  <si>
    <t>Önkormányzati</t>
  </si>
  <si>
    <t>Kiadás összesen</t>
  </si>
  <si>
    <t>Kötött felhasználású</t>
  </si>
  <si>
    <t>Megoszlás %</t>
  </si>
  <si>
    <t>Nem kötött felhasználású</t>
  </si>
  <si>
    <t>Saját bevétel</t>
  </si>
  <si>
    <t>Támogatás</t>
  </si>
  <si>
    <t>Kötött</t>
  </si>
  <si>
    <t>Nem kötött</t>
  </si>
  <si>
    <t xml:space="preserve">Szolnok Városi Óvodák </t>
  </si>
  <si>
    <t>Óvodák összesen:</t>
  </si>
  <si>
    <t>Kodály Zoltán Ének-zenei Általános Iskola és Tallinn Alapfokú Művészetoktatási Intézmény</t>
  </si>
  <si>
    <t>Bartók Béla Zeneiskola</t>
  </si>
  <si>
    <t>Fiumei úti Általános Iskola</t>
  </si>
  <si>
    <t>Belvárosi Általános Iskola</t>
  </si>
  <si>
    <t>Kassai úti Általános Iskola</t>
  </si>
  <si>
    <t>Széchenyi krt-i Általános Iskola</t>
  </si>
  <si>
    <t>Újvárosi Általános Iskola</t>
  </si>
  <si>
    <t>II. Rákóczi Ferenc Általános Iskola</t>
  </si>
  <si>
    <t>Szandaszőlősi Általános Iskola, Művelődési Ház és Alapfokú Művészetoktatási Intézmény</t>
  </si>
  <si>
    <t>Liget úti Általános Iskola és Előkészítő Szakiskola</t>
  </si>
  <si>
    <t>Mátyás Király Általános Iskola és Alapfokú Művészetoktatási Intézmény</t>
  </si>
  <si>
    <t>Kőrösi Csoma Sándor Általános Iskola és Konstantin Alapfokú Művészetoktatási Intézmény</t>
  </si>
  <si>
    <t>Szent-Györgyi Albert Általános Iskola</t>
  </si>
  <si>
    <t xml:space="preserve">Szolnok Városi Pedagógiai Szakszolgálat </t>
  </si>
  <si>
    <t>Általános Iskolák összesen:</t>
  </si>
  <si>
    <t>Verseghy Ferenc Gimnázium</t>
  </si>
  <si>
    <t>Varga Katalin Gimnázium</t>
  </si>
  <si>
    <t>Tiszaparti Gimnázium és Humán Szakközépiskola</t>
  </si>
  <si>
    <t xml:space="preserve">Széchenyi István Gimnázium és Általános Iskola </t>
  </si>
  <si>
    <t>Egészségügyi és Szociális Szakközép- és Szakiskola és Alternatív Gimnázium</t>
  </si>
  <si>
    <t>Gimnáziumok összesen:</t>
  </si>
  <si>
    <t>Vásárhelyi Pál Közgazdasági Szakközépiskola</t>
  </si>
  <si>
    <t xml:space="preserve">Gépipari, Közlekedési Szakközép- és Szakiskola </t>
  </si>
  <si>
    <t>Pálfy János Műszeripari és Vegyipari Szakközépiskola</t>
  </si>
  <si>
    <t>Építészeti, Faipari és Környezetgazdálkodási Szakközép - és Szakiskola</t>
  </si>
  <si>
    <t>Kereskedelmi és Vendéglátóipari Szakközép - és Szakiskola</t>
  </si>
  <si>
    <t>Ruhaipari  Szakközép- és Szakiskola</t>
  </si>
  <si>
    <t>Középiskolák összesen:</t>
  </si>
  <si>
    <t>Városi Kollégium</t>
  </si>
  <si>
    <t>Kollégium összesen:</t>
  </si>
  <si>
    <t>Egyesített Szociális Intézmény</t>
  </si>
  <si>
    <t>Bölcsődei Igazgatóság</t>
  </si>
  <si>
    <t>"Liget Otthon" Fogyatékos Személyek Ápoló, Gondozó Otthona és Nappali Intézménye</t>
  </si>
  <si>
    <t>Humán Szolgáltató Központ</t>
  </si>
  <si>
    <t>Szociális összesen:</t>
  </si>
  <si>
    <t>Megoszlás     %</t>
  </si>
  <si>
    <t>I.sz. Óvodai Intézmény</t>
  </si>
  <si>
    <t>II.sz. Óvodai Intézmény</t>
  </si>
  <si>
    <t>III.sz. Óvodai Intézmény</t>
  </si>
  <si>
    <t>IV.sz. Óvodai Intézmény</t>
  </si>
  <si>
    <t xml:space="preserve">Városi Pedagógiai Szakszolgálat </t>
  </si>
  <si>
    <t>A normatív állami támogatások igénylésénél figyelembevett számított intézményi létszám</t>
  </si>
  <si>
    <t xml:space="preserve"> 2004-2007. években</t>
  </si>
  <si>
    <t>Intézmény megnevezése</t>
  </si>
  <si>
    <t xml:space="preserve">Ellátottak száma </t>
  </si>
  <si>
    <t xml:space="preserve">2004. évi tény </t>
  </si>
  <si>
    <t>2005. évi tény</t>
  </si>
  <si>
    <t>2006. évi  tény</t>
  </si>
  <si>
    <t>2006.okt</t>
  </si>
  <si>
    <t>2007.okt.</t>
  </si>
  <si>
    <t>Szociális, egészségügyi ellátás</t>
  </si>
  <si>
    <t>Szociális és Egészségügyi int. összesen:</t>
  </si>
  <si>
    <t>Oktatás-nevelés</t>
  </si>
  <si>
    <t>I. sz. Óvodai Igazgatóság</t>
  </si>
  <si>
    <t>II. sz. Óvodai Igazgatóság</t>
  </si>
  <si>
    <t>III. sz. Óvodai Igazgatóság</t>
  </si>
  <si>
    <t>IV. sz. Óvodai Igazgatóság</t>
  </si>
  <si>
    <t>Szolnok Városi Óvodák</t>
  </si>
  <si>
    <t>Kodály Z. Ének- zenei Általános Iskola és Tallinn Alapfokú Művészetoktatási Intézmény</t>
  </si>
  <si>
    <t>Bartók Béla Alapfokú Művészetoktatási Intézmény</t>
  </si>
  <si>
    <t>Széchenyi krt-i Általános Iskola, Sportiskola és Alapfokú Művészetoktatási Intézmény</t>
  </si>
  <si>
    <t xml:space="preserve">Újvárosi Általános Iskola </t>
  </si>
  <si>
    <t>Tallinn Általános és Művészetoktatási Intézmény</t>
  </si>
  <si>
    <t>Herman Ottó Általános Iskola</t>
  </si>
  <si>
    <t>Eötvös József Általános Iskola</t>
  </si>
  <si>
    <t>Általános iskolák összesen:</t>
  </si>
  <si>
    <t>Széchenyi István Gimnázium és Általános Iskola</t>
  </si>
  <si>
    <t>Kölcsey Ferenc Általános Iskola és Alternatív Gimnázium</t>
  </si>
  <si>
    <t>Vásárhelyi Pál Közgazdasági és Idegenforgalmi Két Tanítási Nyelvű SZKI</t>
  </si>
  <si>
    <t>Egészségügyi és Szoc. Szakközép- és Szakiskola</t>
  </si>
  <si>
    <t>Mindösszesen:</t>
  </si>
  <si>
    <t>Szolnok Megyei Jogú Város</t>
  </si>
  <si>
    <t>intézményi  álláshelyeinek száma 2004-2007. években</t>
  </si>
  <si>
    <t>Álláshelyek száma</t>
  </si>
  <si>
    <t>Kommunális program</t>
  </si>
  <si>
    <t>Csarnok és Piac Intézmény</t>
  </si>
  <si>
    <t>Hivatásos Tűzoltóság</t>
  </si>
  <si>
    <t>Kommunális összesen:</t>
  </si>
  <si>
    <t>Egészségügyi Szolgálat</t>
  </si>
  <si>
    <t>Szolnok Megyei Jogú Város Intézményszolgálata</t>
  </si>
  <si>
    <t>Széchenyi krt-i Általános Iskola, Sportiskola és Alapfokú Művészetoktatási intézmény</t>
  </si>
  <si>
    <t xml:space="preserve">Liget úti Általános Iskola, Előkészítő és Speciális Szakiskola </t>
  </si>
  <si>
    <t>Városi Pedagógiai Szakszolgálat</t>
  </si>
  <si>
    <t>Közművelődés</t>
  </si>
  <si>
    <t>Szigligeti Színház</t>
  </si>
  <si>
    <t xml:space="preserve">Hild Viktor Városi Könyvtár és Közművelődési Intézmény </t>
  </si>
  <si>
    <t>Közművelődés összesen:</t>
  </si>
  <si>
    <t>Igazgatás</t>
  </si>
  <si>
    <t>PH Ellátó és Szolgáltató Szervezete</t>
  </si>
  <si>
    <t>Igazgatás összesen:</t>
  </si>
  <si>
    <t>Szolnok Megyei Jogú Város költségvetési intézményeinek</t>
  </si>
  <si>
    <t xml:space="preserve">1 ellátottra jutó személyi és működési kiadásai 2007. évben </t>
  </si>
  <si>
    <t>Kiadások összesen        (ezer Ft)</t>
  </si>
  <si>
    <t>Tárgyi feltételeket  biztosító egyéb kiadás  (ezer Ft)</t>
  </si>
  <si>
    <t>Személyi juttatások   (ezer Ft)</t>
  </si>
  <si>
    <t>Ellátotti létszám  (fő)</t>
  </si>
  <si>
    <t>1 ellátottra jutó kiadások  (Ft-ban)</t>
  </si>
  <si>
    <t>Átlagtól való eltérés</t>
  </si>
  <si>
    <t>1 ellátottra jutó tárgyi feltételeket  biztosító kiadás                    (Ft-ban)</t>
  </si>
  <si>
    <t>1 ellátottra jutó személyi (Ft-ban)</t>
  </si>
  <si>
    <t>Dolgozói létszám   (fő)</t>
  </si>
  <si>
    <t>1 dolgozóra jutó személyi (Ft-ban)</t>
  </si>
  <si>
    <t>xxxxx</t>
  </si>
  <si>
    <t>SZMJV Intézményszolgálata</t>
  </si>
  <si>
    <t>Széchenyi krt-i Általános  Iskola</t>
  </si>
  <si>
    <t>Hild Viktor Városi Könyvtár és Közműv. Intézmény</t>
  </si>
  <si>
    <t xml:space="preserve">1 ellátottra jutó személyi és működési kiadásai 2006. évben </t>
  </si>
  <si>
    <t>Kiadások összesen   (ezer Ft)</t>
  </si>
  <si>
    <t>1 ellátottra jutó tárgyi feltételeket  biztosító kiadás           (Ft-ban)</t>
  </si>
  <si>
    <t>II. Rákóczi Ferenc  Általános Iskola</t>
  </si>
  <si>
    <t>Általános iskolák összesen</t>
  </si>
  <si>
    <t>Igazgatás összesen</t>
  </si>
  <si>
    <t>PHESZ.</t>
  </si>
  <si>
    <t>Megszűntek pénzeszközátadása</t>
  </si>
  <si>
    <t xml:space="preserve">1 ellátottra jutó személyi és működési kiadások 2005. évben </t>
  </si>
  <si>
    <t>Intézmény</t>
  </si>
  <si>
    <t>Kiadások összesen   (Eft)</t>
  </si>
  <si>
    <t>Tárgyi feltételeket biztosító kiadások összesen   (Eft)</t>
  </si>
  <si>
    <t>Személyi juttatások   (Eft)</t>
  </si>
  <si>
    <t>1 ellátottra jutó tárgyi feltételeket  biztosító egyéb kiadás</t>
  </si>
  <si>
    <t>1 ellátottra jutó személyi              (Ft-ban)</t>
  </si>
  <si>
    <t>1 dolgozóra jutó személyi              (Ft-ban)</t>
  </si>
  <si>
    <t>"Liget Otthon" Fogy.Szem.Áp.Gond.O.</t>
  </si>
  <si>
    <t>Szoc.-E.ügy összesen</t>
  </si>
  <si>
    <t>I.sz.Óvodai Igazgatóság</t>
  </si>
  <si>
    <t>II.sz.Óvodai Igazgatóság</t>
  </si>
  <si>
    <t>III.sz.Óvodai Igazgatóság</t>
  </si>
  <si>
    <t>IV.sz.Óvodai Igazgatóság</t>
  </si>
  <si>
    <t>Óvodák összesen</t>
  </si>
  <si>
    <t>Kodály Z.Ének-zenei.Ált. Iskola</t>
  </si>
  <si>
    <t>Széchényi krt-i Ált.Iskola</t>
  </si>
  <si>
    <t xml:space="preserve">Újvárosi Ált. Iskola </t>
  </si>
  <si>
    <t>II.Rákóczi F.Általános Iskola</t>
  </si>
  <si>
    <t>Szandasz. Ált.Isk.Műv.H.és Alapf.M.I.</t>
  </si>
  <si>
    <t>Tallinn Általános és Művészeti Iskola</t>
  </si>
  <si>
    <t>Liget úti Ált. Isk. és Szakisk.</t>
  </si>
  <si>
    <t>Mátyás kir.Ált. és Alapf. Műv.Iskola</t>
  </si>
  <si>
    <t>Kőrösi Cs.S.Ált.és Kons.Alapf M. Isk.</t>
  </si>
  <si>
    <t>Herman O.Általános Iskola</t>
  </si>
  <si>
    <t>Eötvös J. Általános Iskola</t>
  </si>
  <si>
    <t>Szolnok Város Pedagógiai Szaksz.</t>
  </si>
  <si>
    <t>Tiszaparti Gimn.és Hum. SZKI.</t>
  </si>
  <si>
    <t>Széchenyi István Gim.és Ált.Iskola</t>
  </si>
  <si>
    <t>Kölcsey F.Á.I.és Alternatív Gimnázium</t>
  </si>
  <si>
    <t>Vásárhelyi P.Közgazdasági .SZKI.</t>
  </si>
  <si>
    <t xml:space="preserve">Gépipari, Közlekedési SZKI.és Szakisk. </t>
  </si>
  <si>
    <t>Pálfy J.Müszip.és Vegyip. SZKI.</t>
  </si>
  <si>
    <t>Épitész., Faip. és Környg.SZKI.és Szak.</t>
  </si>
  <si>
    <t>Keresked. és Vend.SZKI.és Szakiskola</t>
  </si>
  <si>
    <t>Ruhaipari  SZKI. és Szakiskola</t>
  </si>
  <si>
    <t>Egészségügyi és Szoc. SZKI.és Szakisk.</t>
  </si>
  <si>
    <t>Középiskolák összesen</t>
  </si>
  <si>
    <t>Közművelődés, sport össz:</t>
  </si>
  <si>
    <t>M i n d ö s s z e s e n:</t>
  </si>
  <si>
    <t>kontroll</t>
  </si>
  <si>
    <t>2005 év. tény</t>
  </si>
  <si>
    <t>ezer Ft-ban</t>
  </si>
  <si>
    <t>Kodály Zoltán Ének-zenei Általános Iskola</t>
  </si>
  <si>
    <t>II.Rákóczi Ferenc Általános Iskola</t>
  </si>
  <si>
    <t>Szandaszőlősi  Általános Iskola</t>
  </si>
  <si>
    <t>Mátyás király Általános Iskola és Alapfokú  Művészetokt. Int.</t>
  </si>
  <si>
    <t>Kőrösi Csoma Sándor Ált. Iskola és Műv Int.</t>
  </si>
  <si>
    <t>Általános Iskolák összesen</t>
  </si>
  <si>
    <t>Gimnáziumok összesen</t>
  </si>
  <si>
    <t xml:space="preserve">Építészeti, Faipari és Körny.Szakközép- és Szakiskola </t>
  </si>
  <si>
    <t>Kereskedelmi és Vendéglátóip.Szakközép- és Szakiskola</t>
  </si>
  <si>
    <t>Egészségügyi és Szoc. SZKI és Alternatív Gimnázium</t>
  </si>
  <si>
    <t>Kollégium</t>
  </si>
  <si>
    <t>"Liget Otthon" Fogy.Szem.Áp.Gond.Otthona</t>
  </si>
  <si>
    <t>eltérés:</t>
  </si>
  <si>
    <t>Egészségügyi és Szociális SZKI és Alternatív gimnázium</t>
  </si>
  <si>
    <t>tény adatok</t>
  </si>
  <si>
    <t xml:space="preserve"> gazdálkodását meghatározó adatok, mutatószámok 2006. és 2007. években</t>
  </si>
  <si>
    <t>Vásárhelyi Pál Közgazdasági, Idegenforgalmi és Két Tanítási Nyelvű Szakközépiskola</t>
  </si>
  <si>
    <t>Pénzügyi mutatók</t>
  </si>
  <si>
    <t>A)  Adósságszolgálattal kapcsolatos mutatók</t>
  </si>
  <si>
    <t>MUTATÓK</t>
  </si>
  <si>
    <t xml:space="preserve">Változás    </t>
  </si>
  <si>
    <t xml:space="preserve"> %</t>
  </si>
  <si>
    <t>Iránya</t>
  </si>
  <si>
    <t>Követelések</t>
  </si>
  <si>
    <t xml:space="preserve"> x 100</t>
  </si>
  <si>
    <t xml:space="preserve"> =</t>
  </si>
  <si>
    <t>Rövid lejáratú kötelezettségek</t>
  </si>
  <si>
    <t>Vevőállomány</t>
  </si>
  <si>
    <t>Szállítói állomány</t>
  </si>
  <si>
    <t>Adósságállomány</t>
  </si>
  <si>
    <t>Adósságállomány + Saját tőke</t>
  </si>
  <si>
    <t>B,) Likviditás alakulása</t>
  </si>
  <si>
    <t>Likvid pénzeszközök</t>
  </si>
  <si>
    <t>Forgóeszközök</t>
  </si>
  <si>
    <t>Befektetett eszközök</t>
  </si>
  <si>
    <t>Összes eszköz</t>
  </si>
  <si>
    <t>Forgóeszközök-aktív időbeli elhat.</t>
  </si>
  <si>
    <t>Saját tőke</t>
  </si>
  <si>
    <t>Mérleg főösszege</t>
  </si>
  <si>
    <t>Saját tőke + Hosszú lej.köt.</t>
  </si>
  <si>
    <t>Forgótőke</t>
  </si>
  <si>
    <t>Tartalékok</t>
  </si>
  <si>
    <t>Induló tőke</t>
  </si>
  <si>
    <r>
      <t xml:space="preserve">1.) </t>
    </r>
    <r>
      <rPr>
        <b/>
        <sz val="12"/>
        <rFont val="Times New Roman"/>
        <family val="1"/>
      </rPr>
      <t>Hitelfedezeti mutató</t>
    </r>
  </si>
  <si>
    <r>
      <t>2.)</t>
    </r>
    <r>
      <rPr>
        <b/>
        <sz val="12"/>
        <rFont val="Times New Roman"/>
        <family val="1"/>
      </rPr>
      <t xml:space="preserve"> (Adós +vevő) - szállítóállomány összemérési mutató</t>
    </r>
  </si>
  <si>
    <r>
      <t>3.)</t>
    </r>
    <r>
      <rPr>
        <b/>
        <sz val="12"/>
        <rFont val="Times New Roman"/>
        <family val="1"/>
      </rPr>
      <t xml:space="preserve"> Adósságállomány  aránya</t>
    </r>
  </si>
  <si>
    <r>
      <t xml:space="preserve">1.) </t>
    </r>
    <r>
      <rPr>
        <b/>
        <sz val="12"/>
        <rFont val="Times New Roman"/>
        <family val="1"/>
      </rPr>
      <t>Likviditási gyorsráta</t>
    </r>
  </si>
  <si>
    <r>
      <t>2.)</t>
    </r>
    <r>
      <rPr>
        <b/>
        <sz val="12"/>
        <rFont val="Times New Roman"/>
        <family val="1"/>
      </rPr>
      <t xml:space="preserve"> Likviditási mutató</t>
    </r>
  </si>
  <si>
    <r>
      <t>3.)</t>
    </r>
    <r>
      <rPr>
        <b/>
        <sz val="12"/>
        <rFont val="Times New Roman"/>
        <family val="1"/>
      </rPr>
      <t xml:space="preserve"> Befektetett eszközök aránya</t>
    </r>
  </si>
  <si>
    <r>
      <t xml:space="preserve">4.) </t>
    </r>
    <r>
      <rPr>
        <b/>
        <sz val="12"/>
        <rFont val="Times New Roman"/>
        <family val="1"/>
      </rPr>
      <t>Forgóeszközök aránya</t>
    </r>
  </si>
  <si>
    <r>
      <t>5.)</t>
    </r>
    <r>
      <rPr>
        <b/>
        <sz val="12"/>
        <rFont val="Times New Roman"/>
        <family val="1"/>
      </rPr>
      <t xml:space="preserve"> Tőkeerősség</t>
    </r>
  </si>
  <si>
    <r>
      <t>6.)</t>
    </r>
    <r>
      <rPr>
        <b/>
        <sz val="12"/>
        <rFont val="Times New Roman"/>
        <family val="1"/>
      </rPr>
      <t xml:space="preserve"> Befektetett eszközök fedezete I.</t>
    </r>
  </si>
  <si>
    <r>
      <t>7.)</t>
    </r>
    <r>
      <rPr>
        <b/>
        <sz val="12"/>
        <rFont val="Times New Roman"/>
        <family val="1"/>
      </rPr>
      <t xml:space="preserve"> Befektetett eszközök fedezete II.</t>
    </r>
  </si>
  <si>
    <r>
      <t>8.)</t>
    </r>
    <r>
      <rPr>
        <b/>
        <sz val="12"/>
        <rFont val="Times New Roman"/>
        <family val="1"/>
      </rPr>
      <t xml:space="preserve"> Forgóeszköz, saját tőke arány</t>
    </r>
  </si>
  <si>
    <r>
      <t>9.)</t>
    </r>
    <r>
      <rPr>
        <b/>
        <sz val="12"/>
        <rFont val="Times New Roman"/>
        <family val="1"/>
      </rPr>
      <t xml:space="preserve"> Tartalékok aránya</t>
    </r>
  </si>
  <si>
    <r>
      <t>10.)</t>
    </r>
    <r>
      <rPr>
        <b/>
        <sz val="12"/>
        <rFont val="Times New Roman"/>
        <family val="1"/>
      </rPr>
      <t xml:space="preserve"> Saját tőke növekedési mutató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</si>
</sst>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_ ;[Red]\-#,##0\ "/>
    <numFmt numFmtId="166" formatCode="#,###"/>
    <numFmt numFmtId="167" formatCode="#,###.00"/>
    <numFmt numFmtId="168" formatCode="0.0%"/>
    <numFmt numFmtId="169" formatCode="#,##0.0\ _F_t;[Red]#,##0.0\ _F_t"/>
  </numFmts>
  <fonts count="78">
    <font>
      <sz val="10"/>
      <name val="Arial"/>
      <family val="0"/>
    </font>
    <font>
      <sz val="8"/>
      <name val="Arial"/>
      <family val="0"/>
    </font>
    <font>
      <sz val="9"/>
      <name val="Tahoma"/>
      <family val="0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9.75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sz val="11.25"/>
      <name val="Times New Roman"/>
      <family val="1"/>
    </font>
    <font>
      <b/>
      <sz val="14"/>
      <name val="Times New Roman"/>
      <family val="1"/>
    </font>
    <font>
      <sz val="18.25"/>
      <name val="Arial"/>
      <family val="0"/>
    </font>
    <font>
      <sz val="15.25"/>
      <name val="Arial"/>
      <family val="0"/>
    </font>
    <font>
      <sz val="19.25"/>
      <name val="Arial"/>
      <family val="0"/>
    </font>
    <font>
      <sz val="18"/>
      <name val="Arial"/>
      <family val="0"/>
    </font>
    <font>
      <b/>
      <sz val="3"/>
      <name val="Arial"/>
      <family val="0"/>
    </font>
    <font>
      <sz val="2.75"/>
      <name val="Arial"/>
      <family val="0"/>
    </font>
    <font>
      <sz val="2.5"/>
      <name val="Arial"/>
      <family val="0"/>
    </font>
    <font>
      <sz val="9"/>
      <name val="Times New Roman"/>
      <family val="1"/>
    </font>
    <font>
      <sz val="9.5"/>
      <name val="Times New Roman"/>
      <family val="1"/>
    </font>
    <font>
      <sz val="17.75"/>
      <name val="Times New Roman"/>
      <family val="0"/>
    </font>
    <font>
      <sz val="16"/>
      <name val="Times New Roman"/>
      <family val="0"/>
    </font>
    <font>
      <sz val="14.25"/>
      <name val="Times New Roman"/>
      <family val="0"/>
    </font>
    <font>
      <b/>
      <sz val="10.75"/>
      <name val="Times New Roman"/>
      <family val="1"/>
    </font>
    <font>
      <b/>
      <sz val="9"/>
      <name val="Times New Roman"/>
      <family val="1"/>
    </font>
    <font>
      <sz val="12"/>
      <name val="Times New Roman"/>
      <family val="0"/>
    </font>
    <font>
      <sz val="12"/>
      <name val="Times New Roman CE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2"/>
      <name val="Arial"/>
      <family val="0"/>
    </font>
    <font>
      <sz val="9.25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name val="Arial"/>
      <family val="0"/>
    </font>
    <font>
      <b/>
      <sz val="11.25"/>
      <name val="Times New Roman"/>
      <family val="1"/>
    </font>
    <font>
      <sz val="11.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sz val="11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8"/>
      <name val="Times New Roman"/>
      <family val="1"/>
    </font>
    <font>
      <b/>
      <sz val="7"/>
      <name val="Times New Roman CE"/>
      <family val="1"/>
    </font>
    <font>
      <sz val="8"/>
      <name val="Times New Roman CE"/>
      <family val="1"/>
    </font>
    <font>
      <sz val="11"/>
      <color indexed="53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b/>
      <i/>
      <sz val="11"/>
      <color indexed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hair"/>
      <right style="hair"/>
      <top style="hair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double"/>
      <right style="thin"/>
      <top style="thin"/>
      <bottom style="hair"/>
    </border>
    <border>
      <left style="hair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hair"/>
      <right style="double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double"/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double"/>
      <top style="thin"/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 style="double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1" fillId="17" borderId="7" applyNumberFormat="0" applyFont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51" fillId="4" borderId="0" applyNumberFormat="0" applyBorder="0" applyAlignment="0" applyProtection="0"/>
    <xf numFmtId="0" fontId="52" fillId="22" borderId="8" applyNumberFormat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" borderId="0" applyNumberFormat="0" applyBorder="0" applyAlignment="0" applyProtection="0"/>
    <xf numFmtId="0" fontId="56" fillId="23" borderId="0" applyNumberFormat="0" applyBorder="0" applyAlignment="0" applyProtection="0"/>
    <xf numFmtId="0" fontId="57" fillId="22" borderId="1" applyNumberFormat="0" applyAlignment="0" applyProtection="0"/>
    <xf numFmtId="9" fontId="0" fillId="0" borderId="0" applyFont="0" applyFill="0" applyBorder="0" applyAlignment="0" applyProtection="0"/>
  </cellStyleXfs>
  <cellXfs count="965">
    <xf numFmtId="0" fontId="0" fillId="0" borderId="0" xfId="0" applyAlignment="1">
      <alignment/>
    </xf>
    <xf numFmtId="0" fontId="4" fillId="0" borderId="10" xfId="69" applyFont="1" applyFill="1" applyBorder="1" applyAlignment="1">
      <alignment horizontal="center" vertical="center"/>
      <protection/>
    </xf>
    <xf numFmtId="0" fontId="4" fillId="0" borderId="11" xfId="69" applyFont="1" applyFill="1" applyBorder="1" applyAlignment="1">
      <alignment horizontal="center" vertical="center"/>
      <protection/>
    </xf>
    <xf numFmtId="0" fontId="4" fillId="0" borderId="12" xfId="69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4" xfId="69" applyFont="1" applyFill="1" applyBorder="1" applyAlignment="1">
      <alignment horizontal="center" vertical="center"/>
      <protection/>
    </xf>
    <xf numFmtId="0" fontId="4" fillId="0" borderId="15" xfId="69" applyFont="1" applyFill="1" applyBorder="1" applyAlignment="1">
      <alignment horizontal="center" vertical="center"/>
      <protection/>
    </xf>
    <xf numFmtId="0" fontId="4" fillId="0" borderId="16" xfId="69" applyFont="1" applyFill="1" applyBorder="1" applyAlignment="1">
      <alignment horizontal="center" vertical="center"/>
      <protection/>
    </xf>
    <xf numFmtId="0" fontId="5" fillId="0" borderId="17" xfId="69" applyFont="1" applyFill="1" applyBorder="1" applyAlignment="1">
      <alignment horizontal="center" vertical="center"/>
      <protection/>
    </xf>
    <xf numFmtId="0" fontId="4" fillId="0" borderId="18" xfId="69" applyFont="1" applyFill="1" applyBorder="1" applyAlignment="1">
      <alignment horizontal="center" vertical="center"/>
      <protection/>
    </xf>
    <xf numFmtId="0" fontId="5" fillId="0" borderId="19" xfId="69" applyFont="1" applyFill="1" applyBorder="1" applyAlignment="1">
      <alignment horizontal="center" vertical="center"/>
      <protection/>
    </xf>
    <xf numFmtId="0" fontId="4" fillId="0" borderId="20" xfId="69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22" xfId="69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3" xfId="69" applyFont="1" applyFill="1" applyBorder="1" applyAlignment="1">
      <alignment horizontal="center" vertical="center"/>
      <protection/>
    </xf>
    <xf numFmtId="0" fontId="5" fillId="0" borderId="24" xfId="69" applyFont="1" applyFill="1" applyBorder="1" applyAlignment="1">
      <alignment horizontal="center" vertical="center"/>
      <protection/>
    </xf>
    <xf numFmtId="0" fontId="4" fillId="0" borderId="25" xfId="69" applyFont="1" applyFill="1" applyBorder="1" applyAlignment="1">
      <alignment horizontal="center" vertical="center"/>
      <protection/>
    </xf>
    <xf numFmtId="0" fontId="4" fillId="0" borderId="26" xfId="69" applyFont="1" applyFill="1" applyBorder="1" applyAlignment="1">
      <alignment horizontal="center" vertical="center"/>
      <protection/>
    </xf>
    <xf numFmtId="0" fontId="4" fillId="0" borderId="27" xfId="69" applyFont="1" applyFill="1" applyBorder="1" applyAlignment="1">
      <alignment horizontal="center" vertical="center"/>
      <protection/>
    </xf>
    <xf numFmtId="0" fontId="4" fillId="0" borderId="28" xfId="69" applyFont="1" applyFill="1" applyBorder="1" applyAlignment="1">
      <alignment horizontal="center" vertical="center"/>
      <protection/>
    </xf>
    <xf numFmtId="0" fontId="4" fillId="0" borderId="29" xfId="69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37" xfId="0" applyNumberFormat="1" applyFont="1" applyBorder="1" applyAlignment="1">
      <alignment vertical="center"/>
    </xf>
    <xf numFmtId="10" fontId="5" fillId="0" borderId="31" xfId="0" applyNumberFormat="1" applyFont="1" applyBorder="1" applyAlignment="1">
      <alignment vertical="center"/>
    </xf>
    <xf numFmtId="10" fontId="5" fillId="0" borderId="32" xfId="0" applyNumberFormat="1" applyFont="1" applyBorder="1" applyAlignment="1">
      <alignment vertical="center"/>
    </xf>
    <xf numFmtId="10" fontId="5" fillId="0" borderId="33" xfId="0" applyNumberFormat="1" applyFont="1" applyBorder="1" applyAlignment="1">
      <alignment vertical="center"/>
    </xf>
    <xf numFmtId="10" fontId="5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10" fontId="5" fillId="0" borderId="34" xfId="0" applyNumberFormat="1" applyFont="1" applyBorder="1" applyAlignment="1">
      <alignment vertical="center"/>
    </xf>
    <xf numFmtId="10" fontId="5" fillId="0" borderId="30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10" fontId="5" fillId="0" borderId="36" xfId="0" applyNumberFormat="1" applyFont="1" applyBorder="1" applyAlignment="1">
      <alignment vertical="center"/>
    </xf>
    <xf numFmtId="10" fontId="5" fillId="0" borderId="16" xfId="0" applyNumberFormat="1" applyFont="1" applyBorder="1" applyAlignment="1">
      <alignment vertical="center"/>
    </xf>
    <xf numFmtId="10" fontId="5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10" fontId="5" fillId="0" borderId="43" xfId="0" applyNumberFormat="1" applyFont="1" applyBorder="1" applyAlignment="1">
      <alignment vertical="center"/>
    </xf>
    <xf numFmtId="10" fontId="5" fillId="0" borderId="44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3" fontId="23" fillId="0" borderId="45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0" fontId="5" fillId="0" borderId="50" xfId="0" applyNumberFormat="1" applyFont="1" applyBorder="1" applyAlignment="1">
      <alignment vertical="center"/>
    </xf>
    <xf numFmtId="10" fontId="5" fillId="0" borderId="51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4" fillId="0" borderId="4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23" fillId="0" borderId="39" xfId="0" applyNumberFormat="1" applyFont="1" applyBorder="1" applyAlignment="1">
      <alignment vertical="center"/>
    </xf>
    <xf numFmtId="3" fontId="23" fillId="0" borderId="40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10" fontId="5" fillId="0" borderId="47" xfId="0" applyNumberFormat="1" applyFont="1" applyBorder="1" applyAlignment="1">
      <alignment vertical="center"/>
    </xf>
    <xf numFmtId="3" fontId="23" fillId="0" borderId="53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10" fontId="5" fillId="0" borderId="55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5" fillId="0" borderId="57" xfId="0" applyNumberFormat="1" applyFont="1" applyBorder="1" applyAlignment="1">
      <alignment vertical="center"/>
    </xf>
    <xf numFmtId="3" fontId="5" fillId="0" borderId="58" xfId="0" applyNumberFormat="1" applyFont="1" applyBorder="1" applyAlignment="1">
      <alignment vertical="center"/>
    </xf>
    <xf numFmtId="10" fontId="4" fillId="0" borderId="58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32" xfId="0" applyNumberFormat="1" applyFont="1" applyBorder="1" applyAlignment="1">
      <alignment vertical="center"/>
    </xf>
    <xf numFmtId="164" fontId="5" fillId="0" borderId="59" xfId="0" applyNumberFormat="1" applyFont="1" applyBorder="1" applyAlignment="1">
      <alignment vertical="center"/>
    </xf>
    <xf numFmtId="3" fontId="5" fillId="0" borderId="60" xfId="0" applyNumberFormat="1" applyFont="1" applyBorder="1" applyAlignment="1">
      <alignment vertical="center"/>
    </xf>
    <xf numFmtId="164" fontId="5" fillId="0" borderId="30" xfId="0" applyNumberFormat="1" applyFont="1" applyBorder="1" applyAlignment="1">
      <alignment vertical="center"/>
    </xf>
    <xf numFmtId="3" fontId="5" fillId="0" borderId="61" xfId="0" applyNumberFormat="1" applyFont="1" applyBorder="1" applyAlignment="1">
      <alignment vertical="center"/>
    </xf>
    <xf numFmtId="164" fontId="5" fillId="0" borderId="50" xfId="0" applyNumberFormat="1" applyFont="1" applyBorder="1" applyAlignment="1">
      <alignment vertical="center"/>
    </xf>
    <xf numFmtId="3" fontId="23" fillId="0" borderId="62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3" fontId="5" fillId="0" borderId="47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3" fontId="4" fillId="0" borderId="66" xfId="0" applyNumberFormat="1" applyFont="1" applyBorder="1" applyAlignment="1">
      <alignment vertical="center"/>
    </xf>
    <xf numFmtId="3" fontId="4" fillId="0" borderId="67" xfId="0" applyNumberFormat="1" applyFont="1" applyBorder="1" applyAlignment="1">
      <alignment vertical="center"/>
    </xf>
    <xf numFmtId="10" fontId="5" fillId="0" borderId="68" xfId="0" applyNumberFormat="1" applyFont="1" applyBorder="1" applyAlignment="1">
      <alignment vertical="center"/>
    </xf>
    <xf numFmtId="10" fontId="4" fillId="0" borderId="69" xfId="0" applyNumberFormat="1" applyFont="1" applyBorder="1" applyAlignment="1">
      <alignment vertical="center"/>
    </xf>
    <xf numFmtId="10" fontId="4" fillId="0" borderId="70" xfId="0" applyNumberFormat="1" applyFont="1" applyBorder="1" applyAlignment="1">
      <alignment vertical="center"/>
    </xf>
    <xf numFmtId="3" fontId="5" fillId="0" borderId="71" xfId="0" applyNumberFormat="1" applyFont="1" applyBorder="1" applyAlignment="1">
      <alignment vertical="center"/>
    </xf>
    <xf numFmtId="10" fontId="5" fillId="0" borderId="72" xfId="0" applyNumberFormat="1" applyFont="1" applyBorder="1" applyAlignment="1">
      <alignment vertical="center"/>
    </xf>
    <xf numFmtId="10" fontId="5" fillId="0" borderId="35" xfId="0" applyNumberFormat="1" applyFont="1" applyBorder="1" applyAlignment="1">
      <alignment vertical="center"/>
    </xf>
    <xf numFmtId="10" fontId="5" fillId="0" borderId="73" xfId="0" applyNumberFormat="1" applyFont="1" applyBorder="1" applyAlignment="1">
      <alignment vertical="center"/>
    </xf>
    <xf numFmtId="3" fontId="5" fillId="0" borderId="74" xfId="0" applyNumberFormat="1" applyFont="1" applyBorder="1" applyAlignment="1">
      <alignment vertical="center"/>
    </xf>
    <xf numFmtId="3" fontId="5" fillId="0" borderId="75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10" fontId="5" fillId="0" borderId="63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10" fontId="5" fillId="0" borderId="67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0" fontId="4" fillId="0" borderId="76" xfId="0" applyNumberFormat="1" applyFont="1" applyBorder="1" applyAlignment="1">
      <alignment vertical="center"/>
    </xf>
    <xf numFmtId="0" fontId="4" fillId="0" borderId="69" xfId="69" applyFont="1" applyFill="1" applyBorder="1" applyAlignment="1">
      <alignment horizontal="center" vertical="center"/>
      <protection/>
    </xf>
    <xf numFmtId="0" fontId="4" fillId="0" borderId="70" xfId="69" applyFont="1" applyFill="1" applyBorder="1" applyAlignment="1">
      <alignment horizontal="center" vertical="center"/>
      <protection/>
    </xf>
    <xf numFmtId="3" fontId="4" fillId="0" borderId="27" xfId="0" applyNumberFormat="1" applyFont="1" applyBorder="1" applyAlignment="1">
      <alignment vertical="center"/>
    </xf>
    <xf numFmtId="3" fontId="5" fillId="0" borderId="6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5" fillId="0" borderId="73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3" fontId="4" fillId="0" borderId="70" xfId="0" applyNumberFormat="1" applyFont="1" applyBorder="1" applyAlignment="1">
      <alignment vertical="center"/>
    </xf>
    <xf numFmtId="0" fontId="4" fillId="0" borderId="72" xfId="69" applyFont="1" applyFill="1" applyBorder="1" applyAlignment="1">
      <alignment horizontal="center" vertical="center"/>
      <protection/>
    </xf>
    <xf numFmtId="3" fontId="5" fillId="0" borderId="77" xfId="0" applyNumberFormat="1" applyFont="1" applyBorder="1" applyAlignment="1">
      <alignment vertical="center"/>
    </xf>
    <xf numFmtId="3" fontId="5" fillId="0" borderId="78" xfId="0" applyNumberFormat="1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9" xfId="69" applyFont="1" applyFill="1" applyBorder="1" applyAlignment="1">
      <alignment vertical="center"/>
      <protection/>
    </xf>
    <xf numFmtId="0" fontId="4" fillId="0" borderId="80" xfId="69" applyFont="1" applyFill="1" applyBorder="1" applyAlignment="1">
      <alignment vertical="center"/>
      <protection/>
    </xf>
    <xf numFmtId="0" fontId="4" fillId="0" borderId="81" xfId="69" applyFont="1" applyFill="1" applyBorder="1" applyAlignment="1">
      <alignment horizontal="center" vertical="center"/>
      <protection/>
    </xf>
    <xf numFmtId="3" fontId="5" fillId="0" borderId="82" xfId="0" applyNumberFormat="1" applyFont="1" applyBorder="1" applyAlignment="1">
      <alignment vertical="center"/>
    </xf>
    <xf numFmtId="3" fontId="5" fillId="0" borderId="83" xfId="0" applyNumberFormat="1" applyFont="1" applyBorder="1" applyAlignment="1">
      <alignment vertical="center"/>
    </xf>
    <xf numFmtId="3" fontId="5" fillId="0" borderId="84" xfId="0" applyNumberFormat="1" applyFont="1" applyFill="1" applyBorder="1" applyAlignment="1">
      <alignment vertical="center"/>
    </xf>
    <xf numFmtId="3" fontId="4" fillId="0" borderId="85" xfId="0" applyNumberFormat="1" applyFont="1" applyBorder="1" applyAlignment="1">
      <alignment vertical="center"/>
    </xf>
    <xf numFmtId="3" fontId="5" fillId="0" borderId="71" xfId="0" applyNumberFormat="1" applyFont="1" applyFill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69" applyFont="1" applyFill="1" applyBorder="1" applyAlignment="1">
      <alignment horizontal="center" vertical="center"/>
      <protection/>
    </xf>
    <xf numFmtId="0" fontId="4" fillId="0" borderId="75" xfId="69" applyFont="1" applyFill="1" applyBorder="1" applyAlignment="1">
      <alignment horizontal="center" vertical="center"/>
      <protection/>
    </xf>
    <xf numFmtId="3" fontId="5" fillId="0" borderId="88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5" fillId="0" borderId="68" xfId="0" applyNumberFormat="1" applyFont="1" applyBorder="1" applyAlignment="1">
      <alignment vertical="center"/>
    </xf>
    <xf numFmtId="3" fontId="5" fillId="0" borderId="73" xfId="0" applyNumberFormat="1" applyFont="1" applyFill="1" applyBorder="1" applyAlignment="1">
      <alignment vertical="center"/>
    </xf>
    <xf numFmtId="3" fontId="5" fillId="0" borderId="86" xfId="0" applyNumberFormat="1" applyFont="1" applyFill="1" applyBorder="1" applyAlignment="1">
      <alignment vertical="center"/>
    </xf>
    <xf numFmtId="3" fontId="5" fillId="0" borderId="88" xfId="0" applyNumberFormat="1" applyFont="1" applyFill="1" applyBorder="1" applyAlignment="1">
      <alignment vertical="center"/>
    </xf>
    <xf numFmtId="3" fontId="5" fillId="0" borderId="87" xfId="0" applyNumberFormat="1" applyFont="1" applyFill="1" applyBorder="1" applyAlignment="1">
      <alignment vertical="center"/>
    </xf>
    <xf numFmtId="0" fontId="5" fillId="0" borderId="35" xfId="66" applyFont="1" applyBorder="1" applyAlignment="1">
      <alignment vertical="center"/>
      <protection/>
    </xf>
    <xf numFmtId="0" fontId="5" fillId="0" borderId="89" xfId="0" applyFont="1" applyBorder="1" applyAlignment="1">
      <alignment horizontal="right" vertical="center"/>
    </xf>
    <xf numFmtId="0" fontId="5" fillId="0" borderId="0" xfId="59" applyFont="1" applyAlignment="1">
      <alignment vertical="center"/>
      <protection/>
    </xf>
    <xf numFmtId="0" fontId="5" fillId="0" borderId="0" xfId="59" applyFont="1" applyBorder="1" applyAlignment="1">
      <alignment vertical="center"/>
      <protection/>
    </xf>
    <xf numFmtId="0" fontId="5" fillId="0" borderId="0" xfId="59" applyFont="1" applyAlignment="1">
      <alignment horizontal="right" vertical="center"/>
      <protection/>
    </xf>
    <xf numFmtId="0" fontId="4" fillId="0" borderId="27" xfId="59" applyFont="1" applyBorder="1" applyAlignment="1">
      <alignment horizontal="center" vertical="center"/>
      <protection/>
    </xf>
    <xf numFmtId="0" fontId="4" fillId="0" borderId="69" xfId="59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horizontal="center" vertical="center" wrapText="1"/>
      <protection/>
    </xf>
    <xf numFmtId="0" fontId="5" fillId="0" borderId="77" xfId="59" applyFont="1" applyBorder="1" applyAlignment="1">
      <alignment vertical="center"/>
      <protection/>
    </xf>
    <xf numFmtId="3" fontId="5" fillId="0" borderId="33" xfId="59" applyNumberFormat="1" applyFont="1" applyBorder="1" applyAlignment="1">
      <alignment vertical="center"/>
      <protection/>
    </xf>
    <xf numFmtId="3" fontId="5" fillId="0" borderId="90" xfId="59" applyNumberFormat="1" applyFont="1" applyBorder="1" applyAlignment="1">
      <alignment vertical="center"/>
      <protection/>
    </xf>
    <xf numFmtId="0" fontId="5" fillId="0" borderId="91" xfId="59" applyFont="1" applyBorder="1" applyAlignment="1">
      <alignment vertical="center"/>
      <protection/>
    </xf>
    <xf numFmtId="0" fontId="5" fillId="0" borderId="74" xfId="59" applyFont="1" applyFill="1" applyBorder="1" applyAlignment="1">
      <alignment vertical="center"/>
      <protection/>
    </xf>
    <xf numFmtId="3" fontId="5" fillId="0" borderId="30" xfId="59" applyNumberFormat="1" applyFont="1" applyBorder="1" applyAlignment="1">
      <alignment vertical="center"/>
      <protection/>
    </xf>
    <xf numFmtId="3" fontId="5" fillId="0" borderId="88" xfId="59" applyNumberFormat="1" applyFont="1" applyBorder="1" applyAlignment="1">
      <alignment vertical="center"/>
      <protection/>
    </xf>
    <xf numFmtId="0" fontId="5" fillId="0" borderId="30" xfId="66" applyFont="1" applyBorder="1" applyAlignment="1">
      <alignment vertical="center"/>
      <protection/>
    </xf>
    <xf numFmtId="4" fontId="5" fillId="0" borderId="30" xfId="59" applyNumberFormat="1" applyFont="1" applyBorder="1" applyAlignment="1">
      <alignment vertical="center"/>
      <protection/>
    </xf>
    <xf numFmtId="4" fontId="5" fillId="0" borderId="88" xfId="59" applyNumberFormat="1" applyFont="1" applyBorder="1" applyAlignment="1">
      <alignment vertical="center"/>
      <protection/>
    </xf>
    <xf numFmtId="0" fontId="5" fillId="0" borderId="74" xfId="59" applyFont="1" applyBorder="1" applyAlignment="1">
      <alignment vertical="center"/>
      <protection/>
    </xf>
    <xf numFmtId="10" fontId="5" fillId="0" borderId="30" xfId="59" applyNumberFormat="1" applyFont="1" applyBorder="1" applyAlignment="1">
      <alignment horizontal="right" vertical="center"/>
      <protection/>
    </xf>
    <xf numFmtId="10" fontId="5" fillId="0" borderId="88" xfId="59" applyNumberFormat="1" applyFont="1" applyBorder="1" applyAlignment="1">
      <alignment horizontal="right" vertical="center"/>
      <protection/>
    </xf>
    <xf numFmtId="3" fontId="5" fillId="0" borderId="30" xfId="59" applyNumberFormat="1" applyFont="1" applyFill="1" applyBorder="1" applyAlignment="1">
      <alignment vertical="center"/>
      <protection/>
    </xf>
    <xf numFmtId="3" fontId="5" fillId="0" borderId="88" xfId="59" applyNumberFormat="1" applyFont="1" applyFill="1" applyBorder="1" applyAlignment="1">
      <alignment vertical="center"/>
      <protection/>
    </xf>
    <xf numFmtId="0" fontId="5" fillId="0" borderId="75" xfId="59" applyFont="1" applyBorder="1" applyAlignment="1">
      <alignment vertical="center" wrapText="1"/>
      <protection/>
    </xf>
    <xf numFmtId="4" fontId="5" fillId="0" borderId="16" xfId="59" applyNumberFormat="1" applyFont="1" applyFill="1" applyBorder="1" applyAlignment="1">
      <alignment vertical="center"/>
      <protection/>
    </xf>
    <xf numFmtId="0" fontId="30" fillId="0" borderId="0" xfId="59" applyFont="1" applyBorder="1" applyAlignment="1">
      <alignment vertical="center" wrapText="1"/>
      <protection/>
    </xf>
    <xf numFmtId="3" fontId="30" fillId="0" borderId="0" xfId="59" applyNumberFormat="1" applyFont="1" applyBorder="1" applyAlignment="1">
      <alignment vertical="center"/>
      <protection/>
    </xf>
    <xf numFmtId="164" fontId="5" fillId="0" borderId="0" xfId="59" applyNumberFormat="1" applyFont="1" applyFill="1" applyAlignment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74" xfId="0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2" fontId="4" fillId="0" borderId="30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8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74" xfId="0" applyFont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3" fontId="4" fillId="0" borderId="88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2" fontId="4" fillId="0" borderId="69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92" xfId="0" applyFont="1" applyBorder="1" applyAlignment="1">
      <alignment vertical="center"/>
    </xf>
    <xf numFmtId="10" fontId="5" fillId="0" borderId="32" xfId="0" applyNumberFormat="1" applyFont="1" applyFill="1" applyBorder="1" applyAlignment="1">
      <alignment vertical="center"/>
    </xf>
    <xf numFmtId="10" fontId="5" fillId="0" borderId="79" xfId="0" applyNumberFormat="1" applyFont="1" applyFill="1" applyBorder="1" applyAlignment="1">
      <alignment vertical="center"/>
    </xf>
    <xf numFmtId="10" fontId="33" fillId="0" borderId="93" xfId="0" applyNumberFormat="1" applyFont="1" applyFill="1" applyBorder="1" applyAlignment="1">
      <alignment vertical="center"/>
    </xf>
    <xf numFmtId="10" fontId="5" fillId="0" borderId="30" xfId="0" applyNumberFormat="1" applyFont="1" applyFill="1" applyBorder="1" applyAlignment="1">
      <alignment vertical="center"/>
    </xf>
    <xf numFmtId="10" fontId="5" fillId="0" borderId="83" xfId="0" applyNumberFormat="1" applyFont="1" applyFill="1" applyBorder="1" applyAlignment="1">
      <alignment vertical="center"/>
    </xf>
    <xf numFmtId="0" fontId="4" fillId="0" borderId="78" xfId="0" applyFont="1" applyBorder="1" applyAlignment="1">
      <alignment vertical="center"/>
    </xf>
    <xf numFmtId="10" fontId="5" fillId="0" borderId="16" xfId="0" applyNumberFormat="1" applyFont="1" applyFill="1" applyBorder="1" applyAlignment="1">
      <alignment vertical="center"/>
    </xf>
    <xf numFmtId="10" fontId="5" fillId="0" borderId="81" xfId="0" applyNumberFormat="1" applyFont="1" applyFill="1" applyBorder="1" applyAlignment="1">
      <alignment vertical="center"/>
    </xf>
    <xf numFmtId="10" fontId="4" fillId="0" borderId="94" xfId="0" applyNumberFormat="1" applyFont="1" applyFill="1" applyBorder="1" applyAlignment="1">
      <alignment vertical="center"/>
    </xf>
    <xf numFmtId="10" fontId="4" fillId="0" borderId="95" xfId="0" applyNumberFormat="1" applyFont="1" applyFill="1" applyBorder="1" applyAlignment="1">
      <alignment vertical="center"/>
    </xf>
    <xf numFmtId="10" fontId="32" fillId="0" borderId="93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0" xfId="66" applyFont="1" applyAlignment="1">
      <alignment vertical="center"/>
      <protection/>
    </xf>
    <xf numFmtId="0" fontId="5" fillId="0" borderId="0" xfId="66" applyFont="1" applyAlignment="1">
      <alignment horizontal="right" vertical="center"/>
      <protection/>
    </xf>
    <xf numFmtId="0" fontId="4" fillId="0" borderId="16" xfId="66" applyFont="1" applyBorder="1" applyAlignment="1">
      <alignment horizontal="center" vertical="center"/>
      <protection/>
    </xf>
    <xf numFmtId="0" fontId="4" fillId="0" borderId="16" xfId="66" applyFont="1" applyFill="1" applyBorder="1" applyAlignment="1">
      <alignment horizontal="center" vertical="center"/>
      <protection/>
    </xf>
    <xf numFmtId="0" fontId="4" fillId="0" borderId="36" xfId="66" applyFont="1" applyFill="1" applyBorder="1" applyAlignment="1">
      <alignment horizontal="center" vertical="center" wrapText="1" shrinkToFit="1"/>
      <protection/>
    </xf>
    <xf numFmtId="0" fontId="4" fillId="0" borderId="81" xfId="66" applyFont="1" applyBorder="1" applyAlignment="1">
      <alignment horizontal="center" vertical="center"/>
      <protection/>
    </xf>
    <xf numFmtId="0" fontId="4" fillId="0" borderId="72" xfId="66" applyFont="1" applyBorder="1" applyAlignment="1">
      <alignment horizontal="center" vertical="center"/>
      <protection/>
    </xf>
    <xf numFmtId="0" fontId="5" fillId="0" borderId="33" xfId="66" applyFont="1" applyBorder="1" applyAlignment="1">
      <alignment vertical="center"/>
      <protection/>
    </xf>
    <xf numFmtId="0" fontId="5" fillId="0" borderId="32" xfId="66" applyFont="1" applyBorder="1" applyAlignment="1">
      <alignment vertical="center"/>
      <protection/>
    </xf>
    <xf numFmtId="0" fontId="5" fillId="0" borderId="82" xfId="66" applyFont="1" applyBorder="1" applyAlignment="1">
      <alignment vertical="center"/>
      <protection/>
    </xf>
    <xf numFmtId="0" fontId="5" fillId="0" borderId="68" xfId="66" applyFont="1" applyBorder="1" applyAlignment="1">
      <alignment vertical="center"/>
      <protection/>
    </xf>
    <xf numFmtId="0" fontId="5" fillId="0" borderId="90" xfId="66" applyFont="1" applyFill="1" applyBorder="1" applyAlignment="1">
      <alignment vertical="center"/>
      <protection/>
    </xf>
    <xf numFmtId="0" fontId="36" fillId="0" borderId="0" xfId="66" applyFont="1" applyAlignment="1">
      <alignment vertical="center"/>
      <protection/>
    </xf>
    <xf numFmtId="0" fontId="5" fillId="0" borderId="96" xfId="66" applyFont="1" applyBorder="1" applyAlignment="1">
      <alignment vertical="center"/>
      <protection/>
    </xf>
    <xf numFmtId="168" fontId="5" fillId="0" borderId="30" xfId="66" applyNumberFormat="1" applyFont="1" applyBorder="1" applyAlignment="1">
      <alignment vertical="center"/>
      <protection/>
    </xf>
    <xf numFmtId="9" fontId="5" fillId="0" borderId="30" xfId="66" applyNumberFormat="1" applyFont="1" applyBorder="1" applyAlignment="1">
      <alignment vertical="center"/>
      <protection/>
    </xf>
    <xf numFmtId="9" fontId="5" fillId="0" borderId="83" xfId="66" applyNumberFormat="1" applyFont="1" applyBorder="1" applyAlignment="1">
      <alignment vertical="center"/>
      <protection/>
    </xf>
    <xf numFmtId="9" fontId="5" fillId="0" borderId="35" xfId="66" applyNumberFormat="1" applyFont="1" applyBorder="1" applyAlignment="1">
      <alignment vertical="center"/>
      <protection/>
    </xf>
    <xf numFmtId="9" fontId="5" fillId="0" borderId="88" xfId="66" applyNumberFormat="1" applyFont="1" applyFill="1" applyBorder="1" applyAlignment="1">
      <alignment vertical="center"/>
      <protection/>
    </xf>
    <xf numFmtId="0" fontId="5" fillId="0" borderId="83" xfId="66" applyFont="1" applyBorder="1" applyAlignment="1">
      <alignment vertical="center"/>
      <protection/>
    </xf>
    <xf numFmtId="0" fontId="5" fillId="0" borderId="88" xfId="66" applyFont="1" applyFill="1" applyBorder="1" applyAlignment="1">
      <alignment vertical="center"/>
      <protection/>
    </xf>
    <xf numFmtId="0" fontId="5" fillId="0" borderId="30" xfId="66" applyFont="1" applyBorder="1" applyAlignment="1">
      <alignment horizontal="right" vertical="center"/>
      <protection/>
    </xf>
    <xf numFmtId="0" fontId="5" fillId="0" borderId="35" xfId="66" applyFont="1" applyBorder="1" applyAlignment="1">
      <alignment horizontal="right" vertical="center"/>
      <protection/>
    </xf>
    <xf numFmtId="0" fontId="5" fillId="0" borderId="88" xfId="66" applyFont="1" applyBorder="1" applyAlignment="1">
      <alignment horizontal="right" vertical="center"/>
      <protection/>
    </xf>
    <xf numFmtId="3" fontId="4" fillId="0" borderId="30" xfId="66" applyNumberFormat="1" applyFont="1" applyBorder="1" applyAlignment="1">
      <alignment vertical="center"/>
      <protection/>
    </xf>
    <xf numFmtId="3" fontId="4" fillId="0" borderId="83" xfId="66" applyNumberFormat="1" applyFont="1" applyBorder="1" applyAlignment="1">
      <alignment vertical="center"/>
      <protection/>
    </xf>
    <xf numFmtId="3" fontId="4" fillId="0" borderId="35" xfId="66" applyNumberFormat="1" applyFont="1" applyBorder="1" applyAlignment="1">
      <alignment vertical="center"/>
      <protection/>
    </xf>
    <xf numFmtId="3" fontId="4" fillId="0" borderId="88" xfId="66" applyNumberFormat="1" applyFont="1" applyFill="1" applyBorder="1" applyAlignment="1">
      <alignment vertical="center"/>
      <protection/>
    </xf>
    <xf numFmtId="0" fontId="5" fillId="0" borderId="96" xfId="66" applyFont="1" applyBorder="1" applyAlignment="1">
      <alignment/>
      <protection/>
    </xf>
    <xf numFmtId="3" fontId="5" fillId="0" borderId="30" xfId="66" applyNumberFormat="1" applyFont="1" applyBorder="1" applyAlignment="1">
      <alignment vertical="center"/>
      <protection/>
    </xf>
    <xf numFmtId="3" fontId="5" fillId="0" borderId="83" xfId="66" applyNumberFormat="1" applyFont="1" applyBorder="1" applyAlignment="1">
      <alignment vertical="center"/>
      <protection/>
    </xf>
    <xf numFmtId="3" fontId="5" fillId="0" borderId="35" xfId="66" applyNumberFormat="1" applyFont="1" applyBorder="1" applyAlignment="1">
      <alignment vertical="center"/>
      <protection/>
    </xf>
    <xf numFmtId="3" fontId="5" fillId="0" borderId="88" xfId="66" applyNumberFormat="1" applyFont="1" applyFill="1" applyBorder="1" applyAlignment="1">
      <alignment vertical="center"/>
      <protection/>
    </xf>
    <xf numFmtId="3" fontId="5" fillId="0" borderId="83" xfId="66" applyNumberFormat="1" applyFont="1" applyFill="1" applyBorder="1" applyAlignment="1">
      <alignment vertical="center"/>
      <protection/>
    </xf>
    <xf numFmtId="3" fontId="5" fillId="0" borderId="35" xfId="66" applyNumberFormat="1" applyFont="1" applyFill="1" applyBorder="1" applyAlignment="1">
      <alignment vertical="center"/>
      <protection/>
    </xf>
    <xf numFmtId="0" fontId="5" fillId="0" borderId="97" xfId="66" applyFont="1" applyBorder="1" applyAlignment="1">
      <alignment/>
      <protection/>
    </xf>
    <xf numFmtId="3" fontId="5" fillId="0" borderId="16" xfId="66" applyNumberFormat="1" applyFont="1" applyBorder="1" applyAlignment="1">
      <alignment vertical="center"/>
      <protection/>
    </xf>
    <xf numFmtId="3" fontId="5" fillId="0" borderId="81" xfId="66" applyNumberFormat="1" applyFont="1" applyFill="1" applyBorder="1" applyAlignment="1">
      <alignment vertical="center"/>
      <protection/>
    </xf>
    <xf numFmtId="3" fontId="5" fillId="0" borderId="72" xfId="66" applyNumberFormat="1" applyFont="1" applyFill="1" applyBorder="1" applyAlignment="1">
      <alignment vertical="center"/>
      <protection/>
    </xf>
    <xf numFmtId="3" fontId="5" fillId="0" borderId="87" xfId="66" applyNumberFormat="1" applyFont="1" applyFill="1" applyBorder="1" applyAlignment="1">
      <alignment vertical="center"/>
      <protection/>
    </xf>
    <xf numFmtId="0" fontId="5" fillId="0" borderId="0" xfId="66" applyFont="1" applyBorder="1" applyAlignment="1">
      <alignment vertical="center"/>
      <protection/>
    </xf>
    <xf numFmtId="3" fontId="5" fillId="0" borderId="0" xfId="66" applyNumberFormat="1" applyFont="1" applyBorder="1" applyAlignment="1">
      <alignment vertical="center"/>
      <protection/>
    </xf>
    <xf numFmtId="0" fontId="4" fillId="0" borderId="98" xfId="66" applyFont="1" applyBorder="1" applyAlignment="1">
      <alignment vertical="center"/>
      <protection/>
    </xf>
    <xf numFmtId="0" fontId="4" fillId="0" borderId="98" xfId="66" applyFont="1" applyFill="1" applyBorder="1" applyAlignment="1">
      <alignment vertical="center"/>
      <protection/>
    </xf>
    <xf numFmtId="0" fontId="4" fillId="0" borderId="98" xfId="66" applyFont="1" applyFill="1" applyBorder="1" applyAlignment="1">
      <alignment vertical="center" wrapText="1" shrinkToFit="1"/>
      <protection/>
    </xf>
    <xf numFmtId="0" fontId="4" fillId="0" borderId="98" xfId="66" applyFont="1" applyBorder="1" applyAlignment="1">
      <alignment vertical="center" wrapText="1"/>
      <protection/>
    </xf>
    <xf numFmtId="3" fontId="5" fillId="0" borderId="0" xfId="66" applyNumberFormat="1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166" fontId="4" fillId="0" borderId="16" xfId="69" applyNumberFormat="1" applyFont="1" applyFill="1" applyBorder="1" applyAlignment="1">
      <alignment horizontal="center" vertical="center"/>
      <protection/>
    </xf>
    <xf numFmtId="166" fontId="4" fillId="0" borderId="72" xfId="69" applyNumberFormat="1" applyFont="1" applyFill="1" applyBorder="1" applyAlignment="1">
      <alignment horizontal="center" vertical="center"/>
      <protection/>
    </xf>
    <xf numFmtId="0" fontId="5" fillId="0" borderId="77" xfId="0" applyFont="1" applyBorder="1" applyAlignment="1">
      <alignment horizontal="center" vertical="center"/>
    </xf>
    <xf numFmtId="0" fontId="5" fillId="0" borderId="33" xfId="69" applyFont="1" applyFill="1" applyBorder="1" applyAlignment="1">
      <alignment vertical="center"/>
      <protection/>
    </xf>
    <xf numFmtId="166" fontId="5" fillId="0" borderId="33" xfId="69" applyNumberFormat="1" applyFont="1" applyFill="1" applyBorder="1" applyAlignment="1">
      <alignment vertical="center"/>
      <protection/>
    </xf>
    <xf numFmtId="166" fontId="5" fillId="0" borderId="33" xfId="69" applyNumberFormat="1" applyFont="1" applyFill="1" applyBorder="1" applyAlignment="1">
      <alignment horizontal="right" vertical="center"/>
      <protection/>
    </xf>
    <xf numFmtId="166" fontId="5" fillId="0" borderId="68" xfId="69" applyNumberFormat="1" applyFont="1" applyFill="1" applyBorder="1" applyAlignment="1">
      <alignment vertical="center"/>
      <protection/>
    </xf>
    <xf numFmtId="166" fontId="5" fillId="0" borderId="90" xfId="69" applyNumberFormat="1" applyFont="1" applyFill="1" applyBorder="1" applyAlignment="1">
      <alignment vertical="center"/>
      <protection/>
    </xf>
    <xf numFmtId="0" fontId="5" fillId="0" borderId="74" xfId="0" applyFont="1" applyBorder="1" applyAlignment="1">
      <alignment horizontal="center" vertical="center"/>
    </xf>
    <xf numFmtId="0" fontId="5" fillId="0" borderId="30" xfId="69" applyFont="1" applyFill="1" applyBorder="1" applyAlignment="1">
      <alignment vertical="center"/>
      <protection/>
    </xf>
    <xf numFmtId="166" fontId="5" fillId="0" borderId="30" xfId="69" applyNumberFormat="1" applyFont="1" applyFill="1" applyBorder="1" applyAlignment="1">
      <alignment vertical="center"/>
      <protection/>
    </xf>
    <xf numFmtId="166" fontId="5" fillId="0" borderId="30" xfId="69" applyNumberFormat="1" applyFont="1" applyFill="1" applyBorder="1" applyAlignment="1">
      <alignment horizontal="right" vertical="center"/>
      <protection/>
    </xf>
    <xf numFmtId="166" fontId="5" fillId="0" borderId="35" xfId="69" applyNumberFormat="1" applyFont="1" applyFill="1" applyBorder="1" applyAlignment="1">
      <alignment vertical="center"/>
      <protection/>
    </xf>
    <xf numFmtId="166" fontId="5" fillId="0" borderId="88" xfId="69" applyNumberFormat="1" applyFont="1" applyFill="1" applyBorder="1" applyAlignment="1">
      <alignment vertical="center"/>
      <protection/>
    </xf>
    <xf numFmtId="0" fontId="5" fillId="0" borderId="78" xfId="0" applyFont="1" applyBorder="1" applyAlignment="1">
      <alignment horizontal="center" vertical="center"/>
    </xf>
    <xf numFmtId="0" fontId="5" fillId="0" borderId="41" xfId="69" applyFont="1" applyFill="1" applyBorder="1" applyAlignment="1">
      <alignment vertical="center"/>
      <protection/>
    </xf>
    <xf numFmtId="166" fontId="5" fillId="0" borderId="41" xfId="69" applyNumberFormat="1" applyFont="1" applyFill="1" applyBorder="1" applyAlignment="1">
      <alignment vertical="center"/>
      <protection/>
    </xf>
    <xf numFmtId="166" fontId="5" fillId="0" borderId="73" xfId="69" applyNumberFormat="1" applyFont="1" applyFill="1" applyBorder="1" applyAlignment="1">
      <alignment vertical="center"/>
      <protection/>
    </xf>
    <xf numFmtId="166" fontId="5" fillId="0" borderId="99" xfId="69" applyNumberFormat="1" applyFont="1" applyFill="1" applyBorder="1" applyAlignment="1">
      <alignment vertic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69" xfId="69" applyFont="1" applyFill="1" applyBorder="1" applyAlignment="1">
      <alignment vertical="center" wrapText="1"/>
      <protection/>
    </xf>
    <xf numFmtId="166" fontId="4" fillId="0" borderId="69" xfId="69" applyNumberFormat="1" applyFont="1" applyFill="1" applyBorder="1" applyAlignment="1">
      <alignment vertical="center"/>
      <protection/>
    </xf>
    <xf numFmtId="166" fontId="4" fillId="0" borderId="70" xfId="69" applyNumberFormat="1" applyFont="1" applyFill="1" applyBorder="1" applyAlignment="1">
      <alignment vertical="center"/>
      <protection/>
    </xf>
    <xf numFmtId="166" fontId="4" fillId="0" borderId="14" xfId="69" applyNumberFormat="1" applyFont="1" applyFill="1" applyBorder="1" applyAlignment="1">
      <alignment vertical="center"/>
      <protection/>
    </xf>
    <xf numFmtId="166" fontId="5" fillId="0" borderId="33" xfId="0" applyNumberFormat="1" applyFont="1" applyFill="1" applyBorder="1" applyAlignment="1">
      <alignment vertical="center"/>
    </xf>
    <xf numFmtId="166" fontId="5" fillId="0" borderId="68" xfId="0" applyNumberFormat="1" applyFont="1" applyFill="1" applyBorder="1" applyAlignment="1">
      <alignment vertical="center"/>
    </xf>
    <xf numFmtId="166" fontId="5" fillId="0" borderId="90" xfId="0" applyNumberFormat="1" applyFont="1" applyFill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0" fontId="4" fillId="0" borderId="30" xfId="69" applyFont="1" applyFill="1" applyBorder="1" applyAlignment="1">
      <alignment vertical="center" wrapText="1"/>
      <protection/>
    </xf>
    <xf numFmtId="166" fontId="4" fillId="0" borderId="30" xfId="69" applyNumberFormat="1" applyFont="1" applyFill="1" applyBorder="1" applyAlignment="1">
      <alignment vertical="center"/>
      <protection/>
    </xf>
    <xf numFmtId="166" fontId="4" fillId="0" borderId="35" xfId="69" applyNumberFormat="1" applyFont="1" applyFill="1" applyBorder="1" applyAlignment="1">
      <alignment vertical="center"/>
      <protection/>
    </xf>
    <xf numFmtId="166" fontId="4" fillId="0" borderId="88" xfId="69" applyNumberFormat="1" applyFont="1" applyFill="1" applyBorder="1" applyAlignment="1">
      <alignment vertical="center"/>
      <protection/>
    </xf>
    <xf numFmtId="166" fontId="5" fillId="0" borderId="30" xfId="0" applyNumberFormat="1" applyFont="1" applyFill="1" applyBorder="1" applyAlignment="1">
      <alignment vertical="center"/>
    </xf>
    <xf numFmtId="166" fontId="5" fillId="0" borderId="35" xfId="0" applyNumberFormat="1" applyFont="1" applyFill="1" applyBorder="1" applyAlignment="1">
      <alignment vertical="center"/>
    </xf>
    <xf numFmtId="166" fontId="5" fillId="0" borderId="88" xfId="0" applyNumberFormat="1" applyFont="1" applyFill="1" applyBorder="1" applyAlignment="1">
      <alignment vertical="center"/>
    </xf>
    <xf numFmtId="166" fontId="5" fillId="0" borderId="41" xfId="69" applyNumberFormat="1" applyFont="1" applyFill="1" applyBorder="1" applyAlignment="1">
      <alignment horizontal="right" vertical="center"/>
      <protection/>
    </xf>
    <xf numFmtId="166" fontId="5" fillId="0" borderId="41" xfId="0" applyNumberFormat="1" applyFont="1" applyFill="1" applyBorder="1" applyAlignment="1">
      <alignment vertical="center"/>
    </xf>
    <xf numFmtId="166" fontId="5" fillId="0" borderId="73" xfId="0" applyNumberFormat="1" applyFont="1" applyFill="1" applyBorder="1" applyAlignment="1">
      <alignment vertical="center"/>
    </xf>
    <xf numFmtId="166" fontId="5" fillId="0" borderId="99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66" fontId="4" fillId="0" borderId="69" xfId="69" applyNumberFormat="1" applyFont="1" applyFill="1" applyBorder="1" applyAlignment="1">
      <alignment horizontal="right" vertical="center"/>
      <protection/>
    </xf>
    <xf numFmtId="166" fontId="4" fillId="0" borderId="70" xfId="69" applyNumberFormat="1" applyFont="1" applyFill="1" applyBorder="1" applyAlignment="1">
      <alignment horizontal="right" vertical="center"/>
      <protection/>
    </xf>
    <xf numFmtId="166" fontId="4" fillId="0" borderId="14" xfId="6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vertical="center"/>
    </xf>
    <xf numFmtId="10" fontId="5" fillId="0" borderId="68" xfId="0" applyNumberFormat="1" applyFont="1" applyFill="1" applyBorder="1" applyAlignment="1">
      <alignment vertical="center"/>
    </xf>
    <xf numFmtId="10" fontId="5" fillId="0" borderId="90" xfId="0" applyNumberFormat="1" applyFont="1" applyFill="1" applyBorder="1" applyAlignment="1">
      <alignment vertical="center"/>
    </xf>
    <xf numFmtId="10" fontId="5" fillId="0" borderId="35" xfId="0" applyNumberFormat="1" applyFont="1" applyFill="1" applyBorder="1" applyAlignment="1">
      <alignment vertical="center"/>
    </xf>
    <xf numFmtId="10" fontId="5" fillId="0" borderId="41" xfId="0" applyNumberFormat="1" applyFont="1" applyFill="1" applyBorder="1" applyAlignment="1">
      <alignment vertical="center"/>
    </xf>
    <xf numFmtId="10" fontId="5" fillId="0" borderId="73" xfId="0" applyNumberFormat="1" applyFont="1" applyFill="1" applyBorder="1" applyAlignment="1">
      <alignment vertical="center"/>
    </xf>
    <xf numFmtId="10" fontId="4" fillId="0" borderId="69" xfId="0" applyNumberFormat="1" applyFont="1" applyFill="1" applyBorder="1" applyAlignment="1">
      <alignment vertical="center"/>
    </xf>
    <xf numFmtId="10" fontId="4" fillId="0" borderId="70" xfId="0" applyNumberFormat="1" applyFont="1" applyFill="1" applyBorder="1" applyAlignment="1">
      <alignment vertical="center"/>
    </xf>
    <xf numFmtId="10" fontId="4" fillId="0" borderId="14" xfId="0" applyNumberFormat="1" applyFont="1" applyFill="1" applyBorder="1" applyAlignment="1">
      <alignment vertical="center"/>
    </xf>
    <xf numFmtId="0" fontId="5" fillId="0" borderId="62" xfId="69" applyFont="1" applyFill="1" applyBorder="1" applyAlignment="1">
      <alignment vertical="center"/>
      <protection/>
    </xf>
    <xf numFmtId="0" fontId="5" fillId="0" borderId="60" xfId="69" applyFont="1" applyFill="1" applyBorder="1" applyAlignment="1">
      <alignment vertical="center"/>
      <protection/>
    </xf>
    <xf numFmtId="0" fontId="5" fillId="0" borderId="100" xfId="69" applyFont="1" applyFill="1" applyBorder="1" applyAlignment="1">
      <alignment vertical="center"/>
      <protection/>
    </xf>
    <xf numFmtId="0" fontId="5" fillId="0" borderId="0" xfId="69" applyFont="1" applyFill="1" applyBorder="1" applyAlignment="1">
      <alignment vertical="center"/>
      <protection/>
    </xf>
    <xf numFmtId="0" fontId="4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3" fontId="5" fillId="0" borderId="0" xfId="64" applyNumberFormat="1" applyFont="1" applyAlignment="1">
      <alignment vertical="center"/>
      <protection/>
    </xf>
    <xf numFmtId="164" fontId="5" fillId="0" borderId="0" xfId="64" applyNumberFormat="1" applyFont="1" applyAlignment="1">
      <alignment vertical="center"/>
      <protection/>
    </xf>
    <xf numFmtId="3" fontId="5" fillId="0" borderId="0" xfId="64" applyNumberFormat="1" applyFont="1" applyAlignment="1">
      <alignment horizontal="right" vertical="center"/>
      <protection/>
    </xf>
    <xf numFmtId="164" fontId="5" fillId="0" borderId="0" xfId="64" applyNumberFormat="1" applyFont="1" applyAlignment="1">
      <alignment horizontal="right"/>
      <protection/>
    </xf>
    <xf numFmtId="0" fontId="4" fillId="0" borderId="0" xfId="64" applyFont="1" applyAlignment="1">
      <alignment vertical="center"/>
      <protection/>
    </xf>
    <xf numFmtId="3" fontId="5" fillId="0" borderId="101" xfId="67" applyNumberFormat="1" applyFont="1" applyFill="1" applyBorder="1" applyAlignment="1">
      <alignment vertical="center"/>
      <protection/>
    </xf>
    <xf numFmtId="3" fontId="5" fillId="0" borderId="102" xfId="64" applyNumberFormat="1" applyFont="1" applyBorder="1" applyAlignment="1">
      <alignment vertical="center"/>
      <protection/>
    </xf>
    <xf numFmtId="164" fontId="36" fillId="0" borderId="41" xfId="72" applyNumberFormat="1" applyFont="1" applyBorder="1" applyAlignment="1">
      <alignment vertical="center"/>
      <protection/>
    </xf>
    <xf numFmtId="164" fontId="36" fillId="0" borderId="41" xfId="64" applyNumberFormat="1" applyFont="1" applyBorder="1" applyAlignment="1">
      <alignment vertical="center"/>
      <protection/>
    </xf>
    <xf numFmtId="3" fontId="5" fillId="0" borderId="41" xfId="64" applyNumberFormat="1" applyFont="1" applyBorder="1" applyAlignment="1">
      <alignment vertical="center"/>
      <protection/>
    </xf>
    <xf numFmtId="3" fontId="5" fillId="0" borderId="103" xfId="64" applyNumberFormat="1" applyFont="1" applyBorder="1" applyAlignment="1">
      <alignment vertical="center"/>
      <protection/>
    </xf>
    <xf numFmtId="3" fontId="4" fillId="0" borderId="27" xfId="72" applyNumberFormat="1" applyFont="1" applyBorder="1" applyAlignment="1">
      <alignment vertical="center" wrapText="1"/>
      <protection/>
    </xf>
    <xf numFmtId="3" fontId="4" fillId="0" borderId="69" xfId="64" applyNumberFormat="1" applyFont="1" applyBorder="1" applyAlignment="1">
      <alignment vertical="center"/>
      <protection/>
    </xf>
    <xf numFmtId="164" fontId="58" fillId="0" borderId="69" xfId="72" applyNumberFormat="1" applyFont="1" applyBorder="1" applyAlignment="1">
      <alignment vertical="center"/>
      <protection/>
    </xf>
    <xf numFmtId="164" fontId="58" fillId="0" borderId="69" xfId="64" applyNumberFormat="1" applyFont="1" applyBorder="1" applyAlignment="1">
      <alignment vertical="center"/>
      <protection/>
    </xf>
    <xf numFmtId="3" fontId="4" fillId="0" borderId="70" xfId="64" applyNumberFormat="1" applyFont="1" applyBorder="1" applyAlignment="1">
      <alignment vertical="center"/>
      <protection/>
    </xf>
    <xf numFmtId="166" fontId="5" fillId="0" borderId="77" xfId="76" applyNumberFormat="1" applyFont="1" applyFill="1" applyBorder="1" applyAlignment="1">
      <alignment horizontal="left" vertical="center" wrapText="1"/>
      <protection/>
    </xf>
    <xf numFmtId="3" fontId="5" fillId="0" borderId="33" xfId="64" applyNumberFormat="1" applyFont="1" applyBorder="1" applyAlignment="1">
      <alignment vertical="center"/>
      <protection/>
    </xf>
    <xf numFmtId="164" fontId="36" fillId="0" borderId="33" xfId="72" applyNumberFormat="1" applyFont="1" applyBorder="1" applyAlignment="1">
      <alignment vertical="center"/>
      <protection/>
    </xf>
    <xf numFmtId="164" fontId="36" fillId="0" borderId="33" xfId="64" applyNumberFormat="1" applyFont="1" applyBorder="1" applyAlignment="1">
      <alignment vertical="center"/>
      <protection/>
    </xf>
    <xf numFmtId="3" fontId="5" fillId="0" borderId="68" xfId="64" applyNumberFormat="1" applyFont="1" applyBorder="1" applyAlignment="1">
      <alignment vertical="center"/>
      <protection/>
    </xf>
    <xf numFmtId="166" fontId="5" fillId="0" borderId="74" xfId="60" applyNumberFormat="1" applyFont="1" applyFill="1" applyBorder="1" applyAlignment="1">
      <alignment horizontal="left" vertical="center"/>
      <protection/>
    </xf>
    <xf numFmtId="3" fontId="5" fillId="0" borderId="30" xfId="64" applyNumberFormat="1" applyFont="1" applyBorder="1" applyAlignment="1">
      <alignment vertical="center"/>
      <protection/>
    </xf>
    <xf numFmtId="164" fontId="36" fillId="0" borderId="30" xfId="72" applyNumberFormat="1" applyFont="1" applyBorder="1" applyAlignment="1">
      <alignment vertical="center"/>
      <protection/>
    </xf>
    <xf numFmtId="164" fontId="36" fillId="0" borderId="30" xfId="64" applyNumberFormat="1" applyFont="1" applyBorder="1" applyAlignment="1">
      <alignment vertical="center"/>
      <protection/>
    </xf>
    <xf numFmtId="3" fontId="5" fillId="0" borderId="35" xfId="64" applyNumberFormat="1" applyFont="1" applyBorder="1" applyAlignment="1">
      <alignment vertical="center"/>
      <protection/>
    </xf>
    <xf numFmtId="166" fontId="5" fillId="0" borderId="74" xfId="67" applyNumberFormat="1" applyFont="1" applyFill="1" applyBorder="1" applyAlignment="1">
      <alignment vertical="center"/>
      <protection/>
    </xf>
    <xf numFmtId="3" fontId="5" fillId="24" borderId="74" xfId="62" applyNumberFormat="1" applyFont="1" applyFill="1" applyBorder="1" applyAlignment="1">
      <alignment vertical="center"/>
      <protection/>
    </xf>
    <xf numFmtId="0" fontId="5" fillId="0" borderId="74" xfId="77" applyFont="1" applyBorder="1" applyAlignment="1">
      <alignment vertical="center" wrapText="1"/>
      <protection/>
    </xf>
    <xf numFmtId="3" fontId="5" fillId="0" borderId="30" xfId="64" applyNumberFormat="1" applyFont="1" applyFill="1" applyBorder="1" applyAlignment="1">
      <alignment vertical="center"/>
      <protection/>
    </xf>
    <xf numFmtId="166" fontId="5" fillId="0" borderId="74" xfId="76" applyNumberFormat="1" applyFont="1" applyFill="1" applyBorder="1" applyAlignment="1">
      <alignment horizontal="left" vertical="center" wrapText="1"/>
      <protection/>
    </xf>
    <xf numFmtId="3" fontId="5" fillId="0" borderId="78" xfId="72" applyNumberFormat="1" applyFont="1" applyBorder="1" applyAlignment="1">
      <alignment vertical="center" wrapText="1"/>
      <protection/>
    </xf>
    <xf numFmtId="3" fontId="5" fillId="0" borderId="73" xfId="64" applyNumberFormat="1" applyFont="1" applyBorder="1" applyAlignment="1">
      <alignment vertical="center"/>
      <protection/>
    </xf>
    <xf numFmtId="3" fontId="5" fillId="0" borderId="77" xfId="72" applyNumberFormat="1" applyFont="1" applyBorder="1" applyAlignment="1">
      <alignment vertical="center" wrapText="1"/>
      <protection/>
    </xf>
    <xf numFmtId="3" fontId="5" fillId="0" borderId="74" xfId="72" applyNumberFormat="1" applyFont="1" applyBorder="1" applyAlignment="1">
      <alignment vertical="center" wrapText="1"/>
      <protection/>
    </xf>
    <xf numFmtId="166" fontId="5" fillId="0" borderId="77" xfId="74" applyNumberFormat="1" applyFont="1" applyFill="1" applyBorder="1" applyAlignment="1">
      <alignment horizontal="left" vertical="center" wrapText="1"/>
      <protection/>
    </xf>
    <xf numFmtId="3" fontId="4" fillId="0" borderId="11" xfId="72" applyNumberFormat="1" applyFont="1" applyBorder="1" applyAlignment="1">
      <alignment vertical="center" wrapText="1"/>
      <protection/>
    </xf>
    <xf numFmtId="3" fontId="4" fillId="0" borderId="27" xfId="64" applyNumberFormat="1" applyFont="1" applyBorder="1" applyAlignment="1">
      <alignment vertical="center"/>
      <protection/>
    </xf>
    <xf numFmtId="3" fontId="5" fillId="0" borderId="101" xfId="72" applyNumberFormat="1" applyFont="1" applyBorder="1" applyAlignment="1">
      <alignment vertical="center" wrapText="1"/>
      <protection/>
    </xf>
    <xf numFmtId="164" fontId="36" fillId="0" borderId="102" xfId="72" applyNumberFormat="1" applyFont="1" applyBorder="1" applyAlignment="1">
      <alignment vertical="center"/>
      <protection/>
    </xf>
    <xf numFmtId="164" fontId="36" fillId="0" borderId="102" xfId="64" applyNumberFormat="1" applyFont="1" applyBorder="1" applyAlignment="1">
      <alignment vertical="center"/>
      <protection/>
    </xf>
    <xf numFmtId="3" fontId="5" fillId="0" borderId="74" xfId="78" applyNumberFormat="1" applyFont="1" applyFill="1" applyBorder="1" applyAlignment="1">
      <alignment vertical="center" wrapText="1"/>
      <protection/>
    </xf>
    <xf numFmtId="164" fontId="36" fillId="0" borderId="69" xfId="72" applyNumberFormat="1" applyFont="1" applyBorder="1" applyAlignment="1">
      <alignment vertical="center"/>
      <protection/>
    </xf>
    <xf numFmtId="164" fontId="36" fillId="0" borderId="69" xfId="64" applyNumberFormat="1" applyFont="1" applyBorder="1" applyAlignment="1">
      <alignment vertical="center"/>
      <protection/>
    </xf>
    <xf numFmtId="3" fontId="4" fillId="0" borderId="27" xfId="72" applyNumberFormat="1" applyFont="1" applyBorder="1" applyAlignment="1">
      <alignment vertical="center"/>
      <protection/>
    </xf>
    <xf numFmtId="164" fontId="58" fillId="0" borderId="69" xfId="72" applyNumberFormat="1" applyFont="1" applyFill="1" applyBorder="1" applyAlignment="1">
      <alignment vertical="center"/>
      <protection/>
    </xf>
    <xf numFmtId="164" fontId="58" fillId="0" borderId="69" xfId="64" applyNumberFormat="1" applyFont="1" applyFill="1" applyBorder="1" applyAlignment="1">
      <alignment vertical="center"/>
      <protection/>
    </xf>
    <xf numFmtId="0" fontId="59" fillId="0" borderId="0" xfId="64" applyFont="1" applyAlignment="1">
      <alignment vertical="center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vertical="center" wrapText="1"/>
      <protection/>
    </xf>
    <xf numFmtId="3" fontId="5" fillId="0" borderId="0" xfId="64" applyNumberFormat="1" applyFont="1" applyAlignment="1">
      <alignment vertical="center" wrapText="1"/>
      <protection/>
    </xf>
    <xf numFmtId="164" fontId="5" fillId="0" borderId="0" xfId="64" applyNumberFormat="1" applyFont="1" applyAlignment="1">
      <alignment vertical="center" wrapText="1"/>
      <protection/>
    </xf>
    <xf numFmtId="3" fontId="5" fillId="0" borderId="0" xfId="64" applyNumberFormat="1" applyFont="1" applyAlignment="1">
      <alignment horizontal="right" vertical="center" wrapText="1"/>
      <protection/>
    </xf>
    <xf numFmtId="164" fontId="5" fillId="0" borderId="0" xfId="64" applyNumberFormat="1" applyFont="1" applyAlignment="1">
      <alignment horizontal="right" vertical="center" wrapText="1"/>
      <protection/>
    </xf>
    <xf numFmtId="0" fontId="5" fillId="0" borderId="0" xfId="64" applyFont="1" applyAlignment="1">
      <alignment horizontal="center" vertical="center" wrapText="1"/>
      <protection/>
    </xf>
    <xf numFmtId="3" fontId="5" fillId="0" borderId="77" xfId="67" applyNumberFormat="1" applyFont="1" applyFill="1" applyBorder="1" applyAlignment="1">
      <alignment vertical="center"/>
      <protection/>
    </xf>
    <xf numFmtId="3" fontId="5" fillId="0" borderId="33" xfId="64" applyNumberFormat="1" applyFont="1" applyBorder="1" applyAlignment="1">
      <alignment vertical="center" wrapText="1"/>
      <protection/>
    </xf>
    <xf numFmtId="164" fontId="36" fillId="0" borderId="33" xfId="72" applyNumberFormat="1" applyFont="1" applyBorder="1" applyAlignment="1">
      <alignment vertical="center" wrapText="1"/>
      <protection/>
    </xf>
    <xf numFmtId="164" fontId="36" fillId="0" borderId="33" xfId="64" applyNumberFormat="1" applyFont="1" applyBorder="1" applyAlignment="1">
      <alignment vertical="center" wrapText="1"/>
      <protection/>
    </xf>
    <xf numFmtId="3" fontId="5" fillId="0" borderId="68" xfId="64" applyNumberFormat="1" applyFont="1" applyBorder="1" applyAlignment="1">
      <alignment vertical="center" wrapText="1"/>
      <protection/>
    </xf>
    <xf numFmtId="3" fontId="5" fillId="0" borderId="74" xfId="67" applyNumberFormat="1" applyFont="1" applyFill="1" applyBorder="1" applyAlignment="1">
      <alignment vertical="center"/>
      <protection/>
    </xf>
    <xf numFmtId="3" fontId="5" fillId="0" borderId="30" xfId="64" applyNumberFormat="1" applyFont="1" applyBorder="1" applyAlignment="1">
      <alignment vertical="center" wrapText="1"/>
      <protection/>
    </xf>
    <xf numFmtId="164" fontId="36" fillId="0" borderId="30" xfId="72" applyNumberFormat="1" applyFont="1" applyBorder="1" applyAlignment="1">
      <alignment vertical="center" wrapText="1"/>
      <protection/>
    </xf>
    <xf numFmtId="164" fontId="36" fillId="0" borderId="30" xfId="64" applyNumberFormat="1" applyFont="1" applyBorder="1" applyAlignment="1">
      <alignment vertical="center" wrapText="1"/>
      <protection/>
    </xf>
    <xf numFmtId="3" fontId="5" fillId="0" borderId="35" xfId="64" applyNumberFormat="1" applyFont="1" applyBorder="1" applyAlignment="1">
      <alignment vertical="center" wrapText="1"/>
      <protection/>
    </xf>
    <xf numFmtId="3" fontId="5" fillId="0" borderId="78" xfId="67" applyNumberFormat="1" applyFont="1" applyFill="1" applyBorder="1" applyAlignment="1">
      <alignment vertical="center"/>
      <protection/>
    </xf>
    <xf numFmtId="3" fontId="5" fillId="0" borderId="41" xfId="64" applyNumberFormat="1" applyFont="1" applyBorder="1" applyAlignment="1">
      <alignment vertical="center" wrapText="1"/>
      <protection/>
    </xf>
    <xf numFmtId="164" fontId="36" fillId="0" borderId="41" xfId="72" applyNumberFormat="1" applyFont="1" applyBorder="1" applyAlignment="1">
      <alignment vertical="center" wrapText="1"/>
      <protection/>
    </xf>
    <xf numFmtId="164" fontId="36" fillId="0" borderId="41" xfId="64" applyNumberFormat="1" applyFont="1" applyBorder="1" applyAlignment="1">
      <alignment vertical="center" wrapText="1"/>
      <protection/>
    </xf>
    <xf numFmtId="3" fontId="5" fillId="0" borderId="73" xfId="64" applyNumberFormat="1" applyFont="1" applyBorder="1" applyAlignment="1">
      <alignment vertical="center" wrapText="1"/>
      <protection/>
    </xf>
    <xf numFmtId="3" fontId="4" fillId="0" borderId="69" xfId="64" applyNumberFormat="1" applyFont="1" applyBorder="1" applyAlignment="1">
      <alignment vertical="center" wrapText="1"/>
      <protection/>
    </xf>
    <xf numFmtId="164" fontId="58" fillId="0" borderId="69" xfId="72" applyNumberFormat="1" applyFont="1" applyBorder="1" applyAlignment="1">
      <alignment vertical="center" wrapText="1"/>
      <protection/>
    </xf>
    <xf numFmtId="164" fontId="58" fillId="0" borderId="69" xfId="64" applyNumberFormat="1" applyFont="1" applyBorder="1" applyAlignment="1">
      <alignment vertical="center" wrapText="1"/>
      <protection/>
    </xf>
    <xf numFmtId="3" fontId="4" fillId="0" borderId="70" xfId="64" applyNumberFormat="1" applyFont="1" applyBorder="1" applyAlignment="1">
      <alignment vertical="center" wrapText="1"/>
      <protection/>
    </xf>
    <xf numFmtId="0" fontId="4" fillId="0" borderId="0" xfId="64" applyFont="1" applyAlignment="1">
      <alignment vertical="center" wrapText="1"/>
      <protection/>
    </xf>
    <xf numFmtId="3" fontId="5" fillId="0" borderId="102" xfId="64" applyNumberFormat="1" applyFont="1" applyBorder="1" applyAlignment="1">
      <alignment vertical="center" wrapText="1"/>
      <protection/>
    </xf>
    <xf numFmtId="164" fontId="36" fillId="0" borderId="102" xfId="72" applyNumberFormat="1" applyFont="1" applyBorder="1" applyAlignment="1">
      <alignment vertical="center" wrapText="1"/>
      <protection/>
    </xf>
    <xf numFmtId="164" fontId="36" fillId="0" borderId="102" xfId="64" applyNumberFormat="1" applyFont="1" applyBorder="1" applyAlignment="1">
      <alignment vertical="center" wrapText="1"/>
      <protection/>
    </xf>
    <xf numFmtId="3" fontId="5" fillId="0" borderId="103" xfId="64" applyNumberFormat="1" applyFont="1" applyBorder="1" applyAlignment="1">
      <alignment vertical="center" wrapText="1"/>
      <protection/>
    </xf>
    <xf numFmtId="166" fontId="5" fillId="0" borderId="35" xfId="68" applyNumberFormat="1" applyFont="1" applyFill="1" applyBorder="1" applyAlignment="1">
      <alignment vertical="center" wrapText="1"/>
      <protection/>
    </xf>
    <xf numFmtId="166" fontId="5" fillId="0" borderId="73" xfId="68" applyNumberFormat="1" applyFont="1" applyFill="1" applyBorder="1" applyAlignment="1">
      <alignment vertical="center" wrapText="1"/>
      <protection/>
    </xf>
    <xf numFmtId="164" fontId="36" fillId="0" borderId="69" xfId="72" applyNumberFormat="1" applyFont="1" applyBorder="1" applyAlignment="1">
      <alignment vertical="center" wrapText="1"/>
      <protection/>
    </xf>
    <xf numFmtId="164" fontId="36" fillId="0" borderId="69" xfId="64" applyNumberFormat="1" applyFont="1" applyBorder="1" applyAlignment="1">
      <alignment vertical="center" wrapText="1"/>
      <protection/>
    </xf>
    <xf numFmtId="3" fontId="4" fillId="0" borderId="104" xfId="72" applyNumberFormat="1" applyFont="1" applyBorder="1" applyAlignment="1">
      <alignment vertical="center" wrapText="1"/>
      <protection/>
    </xf>
    <xf numFmtId="3" fontId="4" fillId="0" borderId="94" xfId="64" applyNumberFormat="1" applyFont="1" applyBorder="1" applyAlignment="1">
      <alignment vertical="center" wrapText="1"/>
      <protection/>
    </xf>
    <xf numFmtId="164" fontId="58" fillId="0" borderId="94" xfId="72" applyNumberFormat="1" applyFont="1" applyFill="1" applyBorder="1" applyAlignment="1">
      <alignment vertical="center" wrapText="1"/>
      <protection/>
    </xf>
    <xf numFmtId="164" fontId="58" fillId="0" borderId="94" xfId="64" applyNumberFormat="1" applyFont="1" applyFill="1" applyBorder="1" applyAlignment="1">
      <alignment vertical="center" wrapText="1"/>
      <protection/>
    </xf>
    <xf numFmtId="3" fontId="4" fillId="0" borderId="105" xfId="64" applyNumberFormat="1" applyFont="1" applyBorder="1" applyAlignment="1">
      <alignment vertical="center" wrapText="1"/>
      <protection/>
    </xf>
    <xf numFmtId="0" fontId="59" fillId="0" borderId="0" xfId="64" applyFont="1" applyAlignment="1">
      <alignment vertical="center" wrapText="1"/>
      <protection/>
    </xf>
    <xf numFmtId="0" fontId="5" fillId="0" borderId="0" xfId="64" applyFont="1" applyAlignment="1">
      <alignment horizontal="right" vertical="center" wrapText="1"/>
      <protection/>
    </xf>
    <xf numFmtId="166" fontId="9" fillId="0" borderId="0" xfId="77" applyNumberFormat="1" applyFont="1" applyAlignment="1">
      <alignment vertical="center"/>
      <protection/>
    </xf>
    <xf numFmtId="166" fontId="9" fillId="0" borderId="0" xfId="77" applyNumberFormat="1" applyFont="1" applyAlignment="1">
      <alignment vertical="center"/>
      <protection/>
    </xf>
    <xf numFmtId="166" fontId="9" fillId="0" borderId="0" xfId="77" applyNumberFormat="1" applyFont="1" applyFill="1" applyAlignment="1">
      <alignment vertical="center" wrapText="1"/>
      <protection/>
    </xf>
    <xf numFmtId="166" fontId="4" fillId="0" borderId="16" xfId="77" applyNumberFormat="1" applyFont="1" applyBorder="1" applyAlignment="1">
      <alignment horizontal="center" vertical="center" wrapText="1"/>
      <protection/>
    </xf>
    <xf numFmtId="166" fontId="4" fillId="0" borderId="72" xfId="77" applyNumberFormat="1" applyFont="1" applyBorder="1" applyAlignment="1">
      <alignment horizontal="center" vertical="center" wrapText="1"/>
      <protection/>
    </xf>
    <xf numFmtId="166" fontId="23" fillId="0" borderId="0" xfId="77" applyNumberFormat="1" applyFont="1" applyAlignment="1">
      <alignment vertical="center"/>
      <protection/>
    </xf>
    <xf numFmtId="166" fontId="5" fillId="0" borderId="30" xfId="75" applyNumberFormat="1" applyFont="1" applyFill="1" applyBorder="1" applyAlignment="1">
      <alignment vertical="center"/>
      <protection/>
    </xf>
    <xf numFmtId="166" fontId="61" fillId="0" borderId="30" xfId="77" applyNumberFormat="1" applyFont="1" applyBorder="1" applyAlignment="1">
      <alignment vertical="center"/>
      <protection/>
    </xf>
    <xf numFmtId="166" fontId="61" fillId="0" borderId="35" xfId="77" applyNumberFormat="1" applyFont="1" applyBorder="1" applyAlignment="1">
      <alignment vertical="center"/>
      <protection/>
    </xf>
    <xf numFmtId="166" fontId="5" fillId="0" borderId="0" xfId="77" applyNumberFormat="1" applyFont="1" applyAlignment="1">
      <alignment vertical="center"/>
      <protection/>
    </xf>
    <xf numFmtId="0" fontId="5" fillId="0" borderId="78" xfId="77" applyFont="1" applyBorder="1" applyAlignment="1">
      <alignment vertical="center" wrapText="1"/>
      <protection/>
    </xf>
    <xf numFmtId="166" fontId="5" fillId="0" borderId="41" xfId="75" applyNumberFormat="1" applyFont="1" applyFill="1" applyBorder="1" applyAlignment="1">
      <alignment vertical="center"/>
      <protection/>
    </xf>
    <xf numFmtId="166" fontId="61" fillId="0" borderId="41" xfId="77" applyNumberFormat="1" applyFont="1" applyBorder="1" applyAlignment="1">
      <alignment vertical="center"/>
      <protection/>
    </xf>
    <xf numFmtId="166" fontId="61" fillId="0" borderId="73" xfId="77" applyNumberFormat="1" applyFont="1" applyBorder="1" applyAlignment="1">
      <alignment vertical="center"/>
      <protection/>
    </xf>
    <xf numFmtId="0" fontId="4" fillId="0" borderId="27" xfId="77" applyFont="1" applyBorder="1" applyAlignment="1">
      <alignment vertical="center" wrapText="1"/>
      <protection/>
    </xf>
    <xf numFmtId="166" fontId="4" fillId="0" borderId="69" xfId="77" applyNumberFormat="1" applyFont="1" applyBorder="1" applyAlignment="1">
      <alignment horizontal="right" vertical="center"/>
      <protection/>
    </xf>
    <xf numFmtId="166" fontId="4" fillId="0" borderId="70" xfId="77" applyNumberFormat="1" applyFont="1" applyBorder="1" applyAlignment="1">
      <alignment horizontal="right" vertical="center"/>
      <protection/>
    </xf>
    <xf numFmtId="166" fontId="5" fillId="0" borderId="30" xfId="70" applyNumberFormat="1" applyFont="1" applyFill="1" applyBorder="1" applyAlignment="1">
      <alignment vertical="center"/>
      <protection/>
    </xf>
    <xf numFmtId="166" fontId="5" fillId="0" borderId="41" xfId="70" applyNumberFormat="1" applyFont="1" applyFill="1" applyBorder="1" applyAlignment="1">
      <alignment vertical="center"/>
      <protection/>
    </xf>
    <xf numFmtId="166" fontId="4" fillId="0" borderId="69" xfId="70" applyNumberFormat="1" applyFont="1" applyFill="1" applyBorder="1" applyAlignment="1">
      <alignment horizontal="right" vertical="center"/>
      <protection/>
    </xf>
    <xf numFmtId="166" fontId="4" fillId="0" borderId="70" xfId="70" applyNumberFormat="1" applyFont="1" applyFill="1" applyBorder="1" applyAlignment="1">
      <alignment horizontal="right" vertical="center"/>
      <protection/>
    </xf>
    <xf numFmtId="166" fontId="5" fillId="0" borderId="77" xfId="61" applyNumberFormat="1" applyFont="1" applyBorder="1" applyAlignment="1">
      <alignment vertical="center" wrapText="1"/>
      <protection/>
    </xf>
    <xf numFmtId="166" fontId="5" fillId="0" borderId="33" xfId="70" applyNumberFormat="1" applyFont="1" applyFill="1" applyBorder="1" applyAlignment="1">
      <alignment vertical="center"/>
      <protection/>
    </xf>
    <xf numFmtId="166" fontId="61" fillId="0" borderId="33" xfId="77" applyNumberFormat="1" applyFont="1" applyBorder="1" applyAlignment="1">
      <alignment vertical="center"/>
      <protection/>
    </xf>
    <xf numFmtId="166" fontId="5" fillId="0" borderId="74" xfId="61" applyNumberFormat="1" applyFont="1" applyBorder="1" applyAlignment="1">
      <alignment vertical="center" wrapText="1"/>
      <protection/>
    </xf>
    <xf numFmtId="166" fontId="61" fillId="0" borderId="30" xfId="77" applyNumberFormat="1" applyFont="1" applyBorder="1" applyAlignment="1">
      <alignment vertical="center"/>
      <protection/>
    </xf>
    <xf numFmtId="3" fontId="5" fillId="0" borderId="74" xfId="67" applyNumberFormat="1" applyFont="1" applyFill="1" applyBorder="1" applyAlignment="1">
      <alignment vertical="center" wrapText="1"/>
      <protection/>
    </xf>
    <xf numFmtId="166" fontId="4" fillId="0" borderId="27" xfId="77" applyNumberFormat="1" applyFont="1" applyFill="1" applyBorder="1" applyAlignment="1">
      <alignment vertical="center" wrapText="1"/>
      <protection/>
    </xf>
    <xf numFmtId="166" fontId="62" fillId="0" borderId="69" xfId="77" applyNumberFormat="1" applyFont="1" applyBorder="1" applyAlignment="1">
      <alignment horizontal="right" vertical="center"/>
      <protection/>
    </xf>
    <xf numFmtId="166" fontId="62" fillId="0" borderId="70" xfId="77" applyNumberFormat="1" applyFont="1" applyBorder="1" applyAlignment="1">
      <alignment horizontal="right" vertical="center"/>
      <protection/>
    </xf>
    <xf numFmtId="0" fontId="5" fillId="0" borderId="77" xfId="77" applyFont="1" applyBorder="1" applyAlignment="1">
      <alignment vertical="center" wrapText="1"/>
      <protection/>
    </xf>
    <xf numFmtId="3" fontId="5" fillId="0" borderId="74" xfId="72" applyNumberFormat="1" applyFont="1" applyBorder="1" applyAlignment="1">
      <alignment vertical="center"/>
      <protection/>
    </xf>
    <xf numFmtId="0" fontId="5" fillId="0" borderId="74" xfId="0" applyFont="1" applyBorder="1" applyAlignment="1">
      <alignment vertical="center" wrapText="1"/>
    </xf>
    <xf numFmtId="166" fontId="62" fillId="0" borderId="69" xfId="77" applyNumberFormat="1" applyFont="1" applyBorder="1" applyAlignment="1">
      <alignment vertical="center"/>
      <protection/>
    </xf>
    <xf numFmtId="166" fontId="62" fillId="0" borderId="70" xfId="77" applyNumberFormat="1" applyFont="1" applyBorder="1" applyAlignment="1">
      <alignment vertical="center"/>
      <protection/>
    </xf>
    <xf numFmtId="0" fontId="4" fillId="0" borderId="104" xfId="77" applyFont="1" applyBorder="1" applyAlignment="1">
      <alignment horizontal="left" vertical="center" wrapText="1"/>
      <protection/>
    </xf>
    <xf numFmtId="166" fontId="4" fillId="0" borderId="94" xfId="77" applyNumberFormat="1" applyFont="1" applyBorder="1" applyAlignment="1">
      <alignment horizontal="right" vertical="center"/>
      <protection/>
    </xf>
    <xf numFmtId="166" fontId="5" fillId="0" borderId="0" xfId="77" applyNumberFormat="1" applyFont="1" applyFill="1" applyAlignment="1">
      <alignment vertical="center" wrapText="1"/>
      <protection/>
    </xf>
    <xf numFmtId="166" fontId="61" fillId="0" borderId="0" xfId="77" applyNumberFormat="1" applyFont="1" applyAlignment="1">
      <alignment vertical="center"/>
      <protection/>
    </xf>
    <xf numFmtId="166" fontId="63" fillId="0" borderId="0" xfId="77" applyNumberFormat="1" applyFont="1" applyAlignment="1">
      <alignment vertical="center"/>
      <protection/>
    </xf>
    <xf numFmtId="0" fontId="61" fillId="0" borderId="0" xfId="77" applyFont="1" applyBorder="1" applyAlignment="1">
      <alignment vertical="center"/>
      <protection/>
    </xf>
    <xf numFmtId="0" fontId="5" fillId="0" borderId="0" xfId="77" applyFont="1" applyAlignment="1">
      <alignment vertical="center"/>
      <protection/>
    </xf>
    <xf numFmtId="0" fontId="5" fillId="0" borderId="0" xfId="77" applyFont="1" applyAlignment="1">
      <alignment vertical="center"/>
      <protection/>
    </xf>
    <xf numFmtId="0" fontId="62" fillId="0" borderId="0" xfId="77" applyFont="1" applyBorder="1" applyAlignment="1">
      <alignment horizontal="center" vertical="center"/>
      <protection/>
    </xf>
    <xf numFmtId="0" fontId="5" fillId="0" borderId="0" xfId="77" applyFont="1" applyFill="1" applyAlignment="1">
      <alignment vertical="center" wrapText="1"/>
      <protection/>
    </xf>
    <xf numFmtId="0" fontId="5" fillId="0" borderId="0" xfId="77" applyFont="1" applyAlignment="1">
      <alignment vertical="center" wrapText="1"/>
      <protection/>
    </xf>
    <xf numFmtId="0" fontId="62" fillId="0" borderId="0" xfId="77" applyFont="1" applyBorder="1" applyAlignment="1">
      <alignment vertical="center"/>
      <protection/>
    </xf>
    <xf numFmtId="0" fontId="23" fillId="0" borderId="0" xfId="77" applyFont="1" applyAlignment="1">
      <alignment vertical="center"/>
      <protection/>
    </xf>
    <xf numFmtId="0" fontId="64" fillId="0" borderId="0" xfId="77" applyFont="1" applyBorder="1" applyAlignment="1">
      <alignment vertical="center"/>
      <protection/>
    </xf>
    <xf numFmtId="0" fontId="61" fillId="0" borderId="0" xfId="77" applyFont="1" applyAlignment="1">
      <alignment vertical="center"/>
      <protection/>
    </xf>
    <xf numFmtId="164" fontId="61" fillId="0" borderId="0" xfId="77" applyNumberFormat="1" applyFont="1" applyAlignment="1">
      <alignment vertical="center"/>
      <protection/>
    </xf>
    <xf numFmtId="164" fontId="5" fillId="0" borderId="0" xfId="77" applyNumberFormat="1" applyFont="1" applyAlignment="1">
      <alignment vertical="center"/>
      <protection/>
    </xf>
    <xf numFmtId="4" fontId="5" fillId="0" borderId="0" xfId="77" applyNumberFormat="1" applyFont="1" applyAlignment="1">
      <alignment vertical="center"/>
      <protection/>
    </xf>
    <xf numFmtId="166" fontId="23" fillId="0" borderId="0" xfId="70" applyNumberFormat="1" applyFont="1" applyFill="1" applyAlignment="1">
      <alignment vertical="center"/>
      <protection/>
    </xf>
    <xf numFmtId="166" fontId="23" fillId="0" borderId="0" xfId="70" applyNumberFormat="1" applyFont="1" applyFill="1" applyAlignment="1">
      <alignment vertical="center"/>
      <protection/>
    </xf>
    <xf numFmtId="166" fontId="29" fillId="0" borderId="0" xfId="70" applyNumberFormat="1" applyFont="1" applyFill="1" applyAlignment="1">
      <alignment horizontal="center" vertical="center"/>
      <protection/>
    </xf>
    <xf numFmtId="166" fontId="29" fillId="0" borderId="27" xfId="77" applyNumberFormat="1" applyFont="1" applyBorder="1" applyAlignment="1">
      <alignment horizontal="center" vertical="center" wrapText="1"/>
      <protection/>
    </xf>
    <xf numFmtId="166" fontId="65" fillId="0" borderId="69" xfId="70" applyNumberFormat="1" applyFont="1" applyFill="1" applyBorder="1" applyAlignment="1">
      <alignment horizontal="center" vertical="center" wrapText="1"/>
      <protection/>
    </xf>
    <xf numFmtId="166" fontId="65" fillId="0" borderId="70" xfId="70" applyNumberFormat="1" applyFont="1" applyFill="1" applyBorder="1" applyAlignment="1">
      <alignment horizontal="center" vertical="center" wrapText="1"/>
      <protection/>
    </xf>
    <xf numFmtId="166" fontId="66" fillId="0" borderId="77" xfId="70" applyNumberFormat="1" applyFont="1" applyFill="1" applyBorder="1" applyAlignment="1">
      <alignment horizontal="left" vertical="center"/>
      <protection/>
    </xf>
    <xf numFmtId="166" fontId="23" fillId="0" borderId="33" xfId="70" applyNumberFormat="1" applyFont="1" applyFill="1" applyBorder="1" applyAlignment="1">
      <alignment horizontal="right" vertical="center" wrapText="1"/>
      <protection/>
    </xf>
    <xf numFmtId="166" fontId="23" fillId="0" borderId="68" xfId="70" applyNumberFormat="1" applyFont="1" applyFill="1" applyBorder="1" applyAlignment="1">
      <alignment horizontal="right" vertical="center" wrapText="1"/>
      <protection/>
    </xf>
    <xf numFmtId="166" fontId="66" fillId="0" borderId="78" xfId="70" applyNumberFormat="1" applyFont="1" applyFill="1" applyBorder="1" applyAlignment="1">
      <alignment horizontal="left" vertical="center"/>
      <protection/>
    </xf>
    <xf numFmtId="166" fontId="23" fillId="0" borderId="41" xfId="70" applyNumberFormat="1" applyFont="1" applyFill="1" applyBorder="1" applyAlignment="1">
      <alignment horizontal="right" vertical="center" wrapText="1"/>
      <protection/>
    </xf>
    <xf numFmtId="166" fontId="23" fillId="0" borderId="41" xfId="70" applyNumberFormat="1" applyFont="1" applyFill="1" applyBorder="1" applyAlignment="1">
      <alignment horizontal="right" vertical="center" wrapText="1"/>
      <protection/>
    </xf>
    <xf numFmtId="167" fontId="23" fillId="0" borderId="41" xfId="70" applyNumberFormat="1" applyFont="1" applyFill="1" applyBorder="1" applyAlignment="1">
      <alignment horizontal="right" vertical="center" wrapText="1"/>
      <protection/>
    </xf>
    <xf numFmtId="166" fontId="23" fillId="0" borderId="73" xfId="70" applyNumberFormat="1" applyFont="1" applyFill="1" applyBorder="1" applyAlignment="1">
      <alignment horizontal="right" vertical="center" wrapText="1"/>
      <protection/>
    </xf>
    <xf numFmtId="166" fontId="29" fillId="0" borderId="27" xfId="77" applyNumberFormat="1" applyFont="1" applyBorder="1" applyAlignment="1">
      <alignment vertical="center" wrapText="1"/>
      <protection/>
    </xf>
    <xf numFmtId="166" fontId="29" fillId="0" borderId="69" xfId="70" applyNumberFormat="1" applyFont="1" applyFill="1" applyBorder="1" applyAlignment="1">
      <alignment horizontal="right" vertical="center" wrapText="1"/>
      <protection/>
    </xf>
    <xf numFmtId="166" fontId="29" fillId="0" borderId="69" xfId="70" applyNumberFormat="1" applyFont="1" applyFill="1" applyBorder="1" applyAlignment="1">
      <alignment vertical="center"/>
      <protection/>
    </xf>
    <xf numFmtId="166" fontId="29" fillId="0" borderId="69" xfId="70" applyNumberFormat="1" applyFont="1" applyFill="1" applyBorder="1" applyAlignment="1">
      <alignment horizontal="center" vertical="center"/>
      <protection/>
    </xf>
    <xf numFmtId="167" fontId="29" fillId="0" borderId="69" xfId="70" applyNumberFormat="1" applyFont="1" applyFill="1" applyBorder="1" applyAlignment="1">
      <alignment horizontal="right" vertical="center" wrapText="1"/>
      <protection/>
    </xf>
    <xf numFmtId="166" fontId="29" fillId="0" borderId="70" xfId="70" applyNumberFormat="1" applyFont="1" applyFill="1" applyBorder="1" applyAlignment="1">
      <alignment horizontal="center" vertical="center"/>
      <protection/>
    </xf>
    <xf numFmtId="166" fontId="23" fillId="0" borderId="77" xfId="72" applyNumberFormat="1" applyFont="1" applyFill="1" applyBorder="1" applyAlignment="1">
      <alignment vertical="center"/>
      <protection/>
    </xf>
    <xf numFmtId="166" fontId="23" fillId="0" borderId="33" xfId="70" applyNumberFormat="1" applyFont="1" applyFill="1" applyBorder="1" applyAlignment="1">
      <alignment horizontal="right" vertical="center"/>
      <protection/>
    </xf>
    <xf numFmtId="166" fontId="23" fillId="0" borderId="33" xfId="75" applyNumberFormat="1" applyFont="1" applyFill="1" applyBorder="1" applyAlignment="1">
      <alignment horizontal="right" vertical="center"/>
      <protection/>
    </xf>
    <xf numFmtId="166" fontId="23" fillId="0" borderId="68" xfId="70" applyNumberFormat="1" applyFont="1" applyFill="1" applyBorder="1" applyAlignment="1">
      <alignment horizontal="right" vertical="center"/>
      <protection/>
    </xf>
    <xf numFmtId="166" fontId="23" fillId="0" borderId="74" xfId="72" applyNumberFormat="1" applyFont="1" applyFill="1" applyBorder="1" applyAlignment="1">
      <alignment vertical="center"/>
      <protection/>
    </xf>
    <xf numFmtId="166" fontId="23" fillId="0" borderId="30" xfId="70" applyNumberFormat="1" applyFont="1" applyFill="1" applyBorder="1" applyAlignment="1">
      <alignment horizontal="right" vertical="center"/>
      <protection/>
    </xf>
    <xf numFmtId="166" fontId="23" fillId="0" borderId="30" xfId="70" applyNumberFormat="1" applyFont="1" applyFill="1" applyBorder="1" applyAlignment="1">
      <alignment horizontal="right" vertical="center" wrapText="1"/>
      <protection/>
    </xf>
    <xf numFmtId="167" fontId="23" fillId="0" borderId="30" xfId="70" applyNumberFormat="1" applyFont="1" applyFill="1" applyBorder="1" applyAlignment="1">
      <alignment horizontal="right" vertical="center"/>
      <protection/>
    </xf>
    <xf numFmtId="166" fontId="23" fillId="0" borderId="35" xfId="70" applyNumberFormat="1" applyFont="1" applyFill="1" applyBorder="1" applyAlignment="1">
      <alignment horizontal="right" vertical="center"/>
      <protection/>
    </xf>
    <xf numFmtId="166" fontId="23" fillId="0" borderId="77" xfId="76" applyNumberFormat="1" applyFont="1" applyFill="1" applyBorder="1" applyAlignment="1">
      <alignment horizontal="left" vertical="center" wrapText="1"/>
      <protection/>
    </xf>
    <xf numFmtId="166" fontId="66" fillId="0" borderId="78" xfId="72" applyNumberFormat="1" applyFont="1" applyFill="1" applyBorder="1" applyAlignment="1">
      <alignment horizontal="left" vertical="center"/>
      <protection/>
    </xf>
    <xf numFmtId="166" fontId="23" fillId="0" borderId="41" xfId="70" applyNumberFormat="1" applyFont="1" applyFill="1" applyBorder="1" applyAlignment="1">
      <alignment horizontal="right" vertical="center"/>
      <protection/>
    </xf>
    <xf numFmtId="166" fontId="23" fillId="0" borderId="73" xfId="70" applyNumberFormat="1" applyFont="1" applyFill="1" applyBorder="1" applyAlignment="1">
      <alignment horizontal="right" vertical="center"/>
      <protection/>
    </xf>
    <xf numFmtId="166" fontId="65" fillId="0" borderId="27" xfId="72" applyNumberFormat="1" applyFont="1" applyFill="1" applyBorder="1" applyAlignment="1">
      <alignment horizontal="left" vertical="center"/>
      <protection/>
    </xf>
    <xf numFmtId="166" fontId="29" fillId="0" borderId="69" xfId="70" applyNumberFormat="1" applyFont="1" applyFill="1" applyBorder="1" applyAlignment="1">
      <alignment horizontal="right" vertical="center" wrapText="1"/>
      <protection/>
    </xf>
    <xf numFmtId="166" fontId="29" fillId="0" borderId="70" xfId="70" applyNumberFormat="1" applyFont="1" applyFill="1" applyBorder="1" applyAlignment="1">
      <alignment vertical="center"/>
      <protection/>
    </xf>
    <xf numFmtId="166" fontId="23" fillId="0" borderId="101" xfId="77" applyNumberFormat="1" applyFont="1" applyFill="1" applyBorder="1" applyAlignment="1">
      <alignment vertical="center" wrapText="1"/>
      <protection/>
    </xf>
    <xf numFmtId="166" fontId="66" fillId="0" borderId="102" xfId="68" applyNumberFormat="1" applyFont="1" applyFill="1" applyBorder="1" applyAlignment="1">
      <alignment vertical="center"/>
      <protection/>
    </xf>
    <xf numFmtId="166" fontId="23" fillId="0" borderId="102" xfId="70" applyNumberFormat="1" applyFont="1" applyFill="1" applyBorder="1" applyAlignment="1">
      <alignment vertical="center"/>
      <protection/>
    </xf>
    <xf numFmtId="166" fontId="66" fillId="0" borderId="102" xfId="77" applyNumberFormat="1" applyFont="1" applyFill="1" applyBorder="1" applyAlignment="1">
      <alignment vertical="center"/>
      <protection/>
    </xf>
    <xf numFmtId="166" fontId="23" fillId="0" borderId="41" xfId="70" applyNumberFormat="1" applyFont="1" applyFill="1" applyBorder="1" applyAlignment="1">
      <alignment vertical="center"/>
      <protection/>
    </xf>
    <xf numFmtId="167" fontId="23" fillId="0" borderId="102" xfId="77" applyNumberFormat="1" applyFont="1" applyFill="1" applyBorder="1" applyAlignment="1">
      <alignment vertical="center"/>
      <protection/>
    </xf>
    <xf numFmtId="166" fontId="23" fillId="0" borderId="73" xfId="70" applyNumberFormat="1" applyFont="1" applyFill="1" applyBorder="1" applyAlignment="1">
      <alignment vertical="center"/>
      <protection/>
    </xf>
    <xf numFmtId="166" fontId="29" fillId="0" borderId="27" xfId="72" applyNumberFormat="1" applyFont="1" applyFill="1" applyBorder="1" applyAlignment="1">
      <alignment horizontal="left" vertical="center"/>
      <protection/>
    </xf>
    <xf numFmtId="167" fontId="29" fillId="0" borderId="69" xfId="70" applyNumberFormat="1" applyFont="1" applyFill="1" applyBorder="1" applyAlignment="1">
      <alignment vertical="center"/>
      <protection/>
    </xf>
    <xf numFmtId="166" fontId="23" fillId="0" borderId="77" xfId="61" applyNumberFormat="1" applyFont="1" applyBorder="1" applyAlignment="1">
      <alignment vertical="center" wrapText="1"/>
      <protection/>
    </xf>
    <xf numFmtId="166" fontId="23" fillId="0" borderId="33" xfId="67" applyNumberFormat="1" applyFont="1" applyBorder="1" applyAlignment="1">
      <alignment vertical="center"/>
      <protection/>
    </xf>
    <xf numFmtId="166" fontId="23" fillId="0" borderId="33" xfId="70" applyNumberFormat="1" applyFont="1" applyFill="1" applyBorder="1" applyAlignment="1">
      <alignment vertical="center"/>
      <protection/>
    </xf>
    <xf numFmtId="166" fontId="66" fillId="0" borderId="33" xfId="77" applyNumberFormat="1" applyFont="1" applyBorder="1" applyAlignment="1">
      <alignment vertical="center"/>
      <protection/>
    </xf>
    <xf numFmtId="167" fontId="23" fillId="0" borderId="33" xfId="77" applyNumberFormat="1" applyFont="1" applyBorder="1" applyAlignment="1">
      <alignment vertical="center"/>
      <protection/>
    </xf>
    <xf numFmtId="166" fontId="23" fillId="0" borderId="68" xfId="70" applyNumberFormat="1" applyFont="1" applyFill="1" applyBorder="1" applyAlignment="1">
      <alignment vertical="center"/>
      <protection/>
    </xf>
    <xf numFmtId="166" fontId="23" fillId="0" borderId="74" xfId="61" applyNumberFormat="1" applyFont="1" applyBorder="1" applyAlignment="1">
      <alignment vertical="center" wrapText="1"/>
      <protection/>
    </xf>
    <xf numFmtId="166" fontId="23" fillId="0" borderId="30" xfId="67" applyNumberFormat="1" applyFont="1" applyBorder="1" applyAlignment="1">
      <alignment vertical="center"/>
      <protection/>
    </xf>
    <xf numFmtId="166" fontId="23" fillId="0" borderId="30" xfId="70" applyNumberFormat="1" applyFont="1" applyFill="1" applyBorder="1" applyAlignment="1">
      <alignment vertical="center"/>
      <protection/>
    </xf>
    <xf numFmtId="166" fontId="23" fillId="0" borderId="35" xfId="70" applyNumberFormat="1" applyFont="1" applyFill="1" applyBorder="1" applyAlignment="1">
      <alignment vertical="center"/>
      <protection/>
    </xf>
    <xf numFmtId="166" fontId="23" fillId="0" borderId="74" xfId="77" applyNumberFormat="1" applyFont="1" applyBorder="1" applyAlignment="1">
      <alignment vertical="center" wrapText="1"/>
      <protection/>
    </xf>
    <xf numFmtId="0" fontId="23" fillId="0" borderId="74" xfId="77" applyFont="1" applyBorder="1" applyAlignment="1">
      <alignment vertical="center" wrapText="1"/>
      <protection/>
    </xf>
    <xf numFmtId="166" fontId="23" fillId="0" borderId="74" xfId="77" applyNumberFormat="1" applyFont="1" applyBorder="1" applyAlignment="1">
      <alignment vertical="center" wrapText="1"/>
      <protection/>
    </xf>
    <xf numFmtId="167" fontId="23" fillId="0" borderId="30" xfId="77" applyNumberFormat="1" applyFont="1" applyBorder="1" applyAlignment="1">
      <alignment vertical="center"/>
      <protection/>
    </xf>
    <xf numFmtId="166" fontId="23" fillId="0" borderId="74" xfId="76" applyNumberFormat="1" applyFont="1" applyFill="1" applyBorder="1" applyAlignment="1">
      <alignment horizontal="left" vertical="center" wrapText="1"/>
      <protection/>
    </xf>
    <xf numFmtId="166" fontId="66" fillId="0" borderId="78" xfId="72" applyNumberFormat="1" applyFont="1" applyFill="1" applyBorder="1" applyAlignment="1">
      <alignment vertical="center"/>
      <protection/>
    </xf>
    <xf numFmtId="166" fontId="23" fillId="0" borderId="41" xfId="67" applyNumberFormat="1" applyFont="1" applyBorder="1" applyAlignment="1">
      <alignment vertical="center"/>
      <protection/>
    </xf>
    <xf numFmtId="166" fontId="66" fillId="0" borderId="41" xfId="77" applyNumberFormat="1" applyFont="1" applyBorder="1" applyAlignment="1">
      <alignment vertical="center"/>
      <protection/>
    </xf>
    <xf numFmtId="166" fontId="23" fillId="0" borderId="77" xfId="77" applyNumberFormat="1" applyFont="1" applyBorder="1" applyAlignment="1">
      <alignment vertical="center" wrapText="1"/>
      <protection/>
    </xf>
    <xf numFmtId="167" fontId="66" fillId="0" borderId="33" xfId="68" applyNumberFormat="1" applyFont="1" applyFill="1" applyBorder="1" applyAlignment="1">
      <alignment vertical="center"/>
      <protection/>
    </xf>
    <xf numFmtId="166" fontId="23" fillId="0" borderId="74" xfId="72" applyNumberFormat="1" applyFont="1" applyBorder="1" applyAlignment="1">
      <alignment vertical="center" wrapText="1"/>
      <protection/>
    </xf>
    <xf numFmtId="166" fontId="23" fillId="0" borderId="74" xfId="61" applyNumberFormat="1" applyFont="1" applyBorder="1" applyAlignment="1">
      <alignment vertical="center" wrapText="1"/>
      <protection/>
    </xf>
    <xf numFmtId="166" fontId="23" fillId="0" borderId="77" xfId="72" applyNumberFormat="1" applyFont="1" applyBorder="1" applyAlignment="1">
      <alignment vertical="center" wrapText="1"/>
      <protection/>
    </xf>
    <xf numFmtId="166" fontId="66" fillId="0" borderId="30" xfId="77" applyNumberFormat="1" applyFont="1" applyBorder="1" applyAlignment="1">
      <alignment vertical="center"/>
      <protection/>
    </xf>
    <xf numFmtId="166" fontId="23" fillId="0" borderId="74" xfId="72" applyNumberFormat="1" applyFont="1" applyBorder="1" applyAlignment="1">
      <alignment vertical="center" wrapText="1"/>
      <protection/>
    </xf>
    <xf numFmtId="166" fontId="23" fillId="0" borderId="78" xfId="72" applyNumberFormat="1" applyFont="1" applyBorder="1" applyAlignment="1">
      <alignment vertical="center" wrapText="1"/>
      <protection/>
    </xf>
    <xf numFmtId="166" fontId="23" fillId="0" borderId="78" xfId="72" applyNumberFormat="1" applyFont="1" applyFill="1" applyBorder="1" applyAlignment="1">
      <alignment vertical="center"/>
      <protection/>
    </xf>
    <xf numFmtId="167" fontId="66" fillId="0" borderId="41" xfId="68" applyNumberFormat="1" applyFont="1" applyFill="1" applyBorder="1" applyAlignment="1">
      <alignment vertical="center"/>
      <protection/>
    </xf>
    <xf numFmtId="166" fontId="23" fillId="0" borderId="33" xfId="70" applyNumberFormat="1" applyFont="1" applyFill="1" applyBorder="1" applyAlignment="1">
      <alignment vertical="center" wrapText="1"/>
      <protection/>
    </xf>
    <xf numFmtId="166" fontId="23" fillId="0" borderId="33" xfId="70" applyNumberFormat="1" applyFont="1" applyFill="1" applyBorder="1" applyAlignment="1">
      <alignment horizontal="center" vertical="center"/>
      <protection/>
    </xf>
    <xf numFmtId="166" fontId="23" fillId="0" borderId="78" xfId="77" applyNumberFormat="1" applyFont="1" applyBorder="1" applyAlignment="1">
      <alignment vertical="center" wrapText="1"/>
      <protection/>
    </xf>
    <xf numFmtId="166" fontId="23" fillId="0" borderId="41" xfId="67" applyNumberFormat="1" applyFont="1" applyFill="1" applyBorder="1" applyAlignment="1">
      <alignment vertical="center"/>
      <protection/>
    </xf>
    <xf numFmtId="166" fontId="29" fillId="0" borderId="41" xfId="70" applyNumberFormat="1" applyFont="1" applyFill="1" applyBorder="1" applyAlignment="1">
      <alignment vertical="center"/>
      <protection/>
    </xf>
    <xf numFmtId="166" fontId="29" fillId="0" borderId="41" xfId="70" applyNumberFormat="1" applyFont="1" applyFill="1" applyBorder="1" applyAlignment="1">
      <alignment horizontal="center" vertical="center"/>
      <protection/>
    </xf>
    <xf numFmtId="166" fontId="23" fillId="0" borderId="73" xfId="70" applyNumberFormat="1" applyFont="1" applyFill="1" applyBorder="1" applyAlignment="1">
      <alignment vertical="center"/>
      <protection/>
    </xf>
    <xf numFmtId="166" fontId="23" fillId="0" borderId="101" xfId="77" applyNumberFormat="1" applyFont="1" applyBorder="1" applyAlignment="1">
      <alignment vertical="center" wrapText="1"/>
      <protection/>
    </xf>
    <xf numFmtId="166" fontId="23" fillId="0" borderId="102" xfId="70" applyNumberFormat="1" applyFont="1" applyFill="1" applyBorder="1" applyAlignment="1">
      <alignment horizontal="right" vertical="center"/>
      <protection/>
    </xf>
    <xf numFmtId="166" fontId="23" fillId="0" borderId="102" xfId="70" applyNumberFormat="1" applyFont="1" applyFill="1" applyBorder="1" applyAlignment="1">
      <alignment horizontal="center" vertical="center"/>
      <protection/>
    </xf>
    <xf numFmtId="166" fontId="29" fillId="0" borderId="69" xfId="70" applyNumberFormat="1" applyFont="1" applyFill="1" applyBorder="1" applyAlignment="1">
      <alignment horizontal="right" vertical="center"/>
      <protection/>
    </xf>
    <xf numFmtId="167" fontId="29" fillId="0" borderId="69" xfId="70" applyNumberFormat="1" applyFont="1" applyFill="1" applyBorder="1" applyAlignment="1">
      <alignment horizontal="right" vertical="center"/>
      <protection/>
    </xf>
    <xf numFmtId="166" fontId="65" fillId="0" borderId="104" xfId="72" applyNumberFormat="1" applyFont="1" applyFill="1" applyBorder="1" applyAlignment="1">
      <alignment horizontal="left" vertical="center"/>
      <protection/>
    </xf>
    <xf numFmtId="166" fontId="29" fillId="0" borderId="94" xfId="70" applyNumberFormat="1" applyFont="1" applyFill="1" applyBorder="1" applyAlignment="1">
      <alignment horizontal="right" vertical="center"/>
      <protection/>
    </xf>
    <xf numFmtId="166" fontId="29" fillId="0" borderId="94" xfId="70" applyNumberFormat="1" applyFont="1" applyFill="1" applyBorder="1" applyAlignment="1">
      <alignment vertical="center"/>
      <protection/>
    </xf>
    <xf numFmtId="166" fontId="29" fillId="0" borderId="94" xfId="70" applyNumberFormat="1" applyFont="1" applyFill="1" applyBorder="1" applyAlignment="1">
      <alignment horizontal="center" vertical="center"/>
      <protection/>
    </xf>
    <xf numFmtId="167" fontId="29" fillId="0" borderId="94" xfId="70" applyNumberFormat="1" applyFont="1" applyFill="1" applyBorder="1" applyAlignment="1">
      <alignment horizontal="right" vertical="center"/>
      <protection/>
    </xf>
    <xf numFmtId="166" fontId="29" fillId="0" borderId="105" xfId="70" applyNumberFormat="1" applyFont="1" applyFill="1" applyBorder="1" applyAlignment="1">
      <alignment horizontal="center" vertical="center"/>
      <protection/>
    </xf>
    <xf numFmtId="167" fontId="23" fillId="0" borderId="0" xfId="70" applyNumberFormat="1" applyFont="1" applyFill="1" applyAlignment="1">
      <alignment vertical="center"/>
      <protection/>
    </xf>
    <xf numFmtId="166" fontId="23" fillId="0" borderId="0" xfId="63" applyNumberFormat="1" applyFont="1" applyFill="1" applyAlignment="1">
      <alignment vertical="center"/>
      <protection/>
    </xf>
    <xf numFmtId="166" fontId="23" fillId="0" borderId="0" xfId="70" applyNumberFormat="1" applyFont="1" applyFill="1" applyAlignment="1">
      <alignment horizontal="right" vertical="center"/>
      <protection/>
    </xf>
    <xf numFmtId="166" fontId="5" fillId="0" borderId="0" xfId="70" applyNumberFormat="1" applyFont="1" applyFill="1" applyAlignment="1">
      <alignment vertical="center"/>
      <protection/>
    </xf>
    <xf numFmtId="166" fontId="5" fillId="0" borderId="0" xfId="70" applyNumberFormat="1" applyFont="1" applyFill="1" applyAlignment="1">
      <alignment vertical="center"/>
      <protection/>
    </xf>
    <xf numFmtId="166" fontId="6" fillId="0" borderId="0" xfId="70" applyNumberFormat="1" applyFont="1" applyFill="1" applyAlignment="1">
      <alignment horizontal="center" vertical="center"/>
      <protection/>
    </xf>
    <xf numFmtId="167" fontId="23" fillId="0" borderId="33" xfId="70" applyNumberFormat="1" applyFont="1" applyFill="1" applyBorder="1" applyAlignment="1">
      <alignment horizontal="right" vertical="center" wrapText="1"/>
      <protection/>
    </xf>
    <xf numFmtId="167" fontId="23" fillId="0" borderId="33" xfId="70" applyNumberFormat="1" applyFont="1" applyFill="1" applyBorder="1" applyAlignment="1">
      <alignment horizontal="right" vertical="center"/>
      <protection/>
    </xf>
    <xf numFmtId="166" fontId="66" fillId="0" borderId="33" xfId="68" applyNumberFormat="1" applyFont="1" applyFill="1" applyBorder="1" applyAlignment="1">
      <alignment vertical="center"/>
      <protection/>
    </xf>
    <xf numFmtId="167" fontId="5" fillId="0" borderId="33" xfId="77" applyNumberFormat="1" applyFont="1" applyBorder="1" applyAlignment="1">
      <alignment vertical="center"/>
      <protection/>
    </xf>
    <xf numFmtId="166" fontId="66" fillId="0" borderId="30" xfId="68" applyNumberFormat="1" applyFont="1" applyFill="1" applyBorder="1" applyAlignment="1">
      <alignment vertical="center"/>
      <protection/>
    </xf>
    <xf numFmtId="166" fontId="23" fillId="0" borderId="78" xfId="77" applyNumberFormat="1" applyFont="1" applyBorder="1" applyAlignment="1">
      <alignment vertical="center" wrapText="1"/>
      <protection/>
    </xf>
    <xf numFmtId="166" fontId="66" fillId="0" borderId="41" xfId="68" applyNumberFormat="1" applyFont="1" applyFill="1" applyBorder="1" applyAlignment="1">
      <alignment vertical="center"/>
      <protection/>
    </xf>
    <xf numFmtId="167" fontId="5" fillId="0" borderId="30" xfId="77" applyNumberFormat="1" applyFont="1" applyBorder="1" applyAlignment="1">
      <alignment vertical="center"/>
      <protection/>
    </xf>
    <xf numFmtId="167" fontId="61" fillId="0" borderId="41" xfId="68" applyNumberFormat="1" applyFont="1" applyFill="1" applyBorder="1" applyAlignment="1">
      <alignment vertical="center"/>
      <protection/>
    </xf>
    <xf numFmtId="167" fontId="61" fillId="0" borderId="33" xfId="68" applyNumberFormat="1" applyFont="1" applyFill="1" applyBorder="1" applyAlignment="1">
      <alignment vertical="center"/>
      <protection/>
    </xf>
    <xf numFmtId="167" fontId="61" fillId="0" borderId="41" xfId="68" applyNumberFormat="1" applyFont="1" applyFill="1" applyBorder="1" applyAlignment="1">
      <alignment vertical="center"/>
      <protection/>
    </xf>
    <xf numFmtId="167" fontId="23" fillId="0" borderId="102" xfId="70" applyNumberFormat="1" applyFont="1" applyFill="1" applyBorder="1" applyAlignment="1">
      <alignment horizontal="right" vertical="center"/>
      <protection/>
    </xf>
    <xf numFmtId="167" fontId="5" fillId="0" borderId="0" xfId="70" applyNumberFormat="1" applyFont="1" applyFill="1" applyAlignment="1">
      <alignment vertical="center"/>
      <protection/>
    </xf>
    <xf numFmtId="166" fontId="5" fillId="0" borderId="0" xfId="63" applyNumberFormat="1" applyFont="1" applyFill="1" applyAlignment="1">
      <alignment vertical="center"/>
      <protection/>
    </xf>
    <xf numFmtId="165" fontId="5" fillId="0" borderId="0" xfId="70" applyNumberFormat="1" applyFont="1" applyFill="1">
      <alignment/>
      <protection/>
    </xf>
    <xf numFmtId="165" fontId="6" fillId="0" borderId="0" xfId="70" applyNumberFormat="1" applyFont="1" applyFill="1" applyAlignment="1">
      <alignment horizontal="center"/>
      <protection/>
    </xf>
    <xf numFmtId="165" fontId="5" fillId="0" borderId="0" xfId="70" applyNumberFormat="1" applyFont="1" applyFill="1" applyAlignment="1">
      <alignment vertical="center"/>
      <protection/>
    </xf>
    <xf numFmtId="165" fontId="5" fillId="0" borderId="0" xfId="63" applyNumberFormat="1" applyFont="1" applyFill="1">
      <alignment/>
      <protection/>
    </xf>
    <xf numFmtId="165" fontId="4" fillId="0" borderId="106" xfId="63" applyNumberFormat="1" applyFont="1" applyFill="1" applyBorder="1">
      <alignment/>
      <protection/>
    </xf>
    <xf numFmtId="0" fontId="9" fillId="0" borderId="0" xfId="71" applyFont="1">
      <alignment/>
      <protection/>
    </xf>
    <xf numFmtId="3" fontId="9" fillId="0" borderId="0" xfId="71" applyNumberFormat="1" applyFont="1">
      <alignment/>
      <protection/>
    </xf>
    <xf numFmtId="164" fontId="9" fillId="0" borderId="0" xfId="71" applyNumberFormat="1" applyFont="1">
      <alignment/>
      <protection/>
    </xf>
    <xf numFmtId="3" fontId="70" fillId="0" borderId="0" xfId="71" applyNumberFormat="1" applyFont="1">
      <alignment/>
      <protection/>
    </xf>
    <xf numFmtId="3" fontId="9" fillId="0" borderId="0" xfId="71" applyNumberFormat="1" applyFont="1" applyAlignment="1">
      <alignment horizontal="right"/>
      <protection/>
    </xf>
    <xf numFmtId="164" fontId="9" fillId="0" borderId="0" xfId="71" applyNumberFormat="1" applyFont="1" applyAlignment="1">
      <alignment horizontal="right"/>
      <protection/>
    </xf>
    <xf numFmtId="0" fontId="9" fillId="0" borderId="0" xfId="71" applyFont="1" applyAlignment="1">
      <alignment horizontal="center"/>
      <protection/>
    </xf>
    <xf numFmtId="0" fontId="60" fillId="0" borderId="0" xfId="71" applyFont="1" applyAlignment="1">
      <alignment vertical="center"/>
      <protection/>
    </xf>
    <xf numFmtId="0" fontId="60" fillId="0" borderId="0" xfId="71" applyFont="1">
      <alignment/>
      <protection/>
    </xf>
    <xf numFmtId="0" fontId="73" fillId="0" borderId="0" xfId="71" applyFont="1" applyAlignment="1">
      <alignment vertical="center"/>
      <protection/>
    </xf>
    <xf numFmtId="0" fontId="9" fillId="0" borderId="0" xfId="71" applyFont="1" applyAlignment="1">
      <alignment horizontal="right"/>
      <protection/>
    </xf>
    <xf numFmtId="165" fontId="23" fillId="0" borderId="107" xfId="70" applyNumberFormat="1" applyFont="1" applyFill="1" applyBorder="1" applyAlignment="1">
      <alignment horizontal="right" vertical="center" wrapText="1"/>
      <protection/>
    </xf>
    <xf numFmtId="165" fontId="13" fillId="0" borderId="107" xfId="72" applyNumberFormat="1" applyFont="1" applyFill="1" applyBorder="1" applyAlignment="1">
      <alignment vertical="center"/>
      <protection/>
    </xf>
    <xf numFmtId="165" fontId="23" fillId="0" borderId="107" xfId="70" applyNumberFormat="1" applyFont="1" applyFill="1" applyBorder="1" applyAlignment="1">
      <alignment horizontal="right" vertical="center"/>
      <protection/>
    </xf>
    <xf numFmtId="165" fontId="23" fillId="0" borderId="107" xfId="75" applyNumberFormat="1" applyFont="1" applyFill="1" applyBorder="1" applyAlignment="1">
      <alignment horizontal="right"/>
      <protection/>
    </xf>
    <xf numFmtId="2" fontId="23" fillId="0" borderId="107" xfId="70" applyNumberFormat="1" applyFont="1" applyFill="1" applyBorder="1" applyAlignment="1">
      <alignment horizontal="right" vertical="center"/>
      <protection/>
    </xf>
    <xf numFmtId="165" fontId="13" fillId="0" borderId="107" xfId="72" applyNumberFormat="1" applyFont="1" applyFill="1" applyBorder="1" applyAlignment="1">
      <alignment horizontal="left" vertical="center"/>
      <protection/>
    </xf>
    <xf numFmtId="166" fontId="66" fillId="0" borderId="107" xfId="70" applyNumberFormat="1" applyFont="1" applyFill="1" applyBorder="1" applyAlignment="1">
      <alignment horizontal="right" vertical="center"/>
      <protection/>
    </xf>
    <xf numFmtId="3" fontId="23" fillId="0" borderId="107" xfId="70" applyNumberFormat="1" applyFont="1" applyFill="1" applyBorder="1" applyAlignment="1">
      <alignment horizontal="right" vertical="center"/>
      <protection/>
    </xf>
    <xf numFmtId="165" fontId="69" fillId="0" borderId="107" xfId="72" applyNumberFormat="1" applyFont="1" applyFill="1" applyBorder="1" applyAlignment="1">
      <alignment vertical="center"/>
      <protection/>
    </xf>
    <xf numFmtId="165" fontId="13" fillId="0" borderId="107" xfId="72" applyNumberFormat="1" applyFont="1" applyFill="1" applyBorder="1" applyAlignment="1">
      <alignment vertical="center" wrapText="1"/>
      <protection/>
    </xf>
    <xf numFmtId="0" fontId="5" fillId="0" borderId="107" xfId="77" applyFont="1" applyBorder="1" applyAlignment="1">
      <alignment vertical="center" wrapText="1"/>
      <protection/>
    </xf>
    <xf numFmtId="165" fontId="69" fillId="0" borderId="108" xfId="70" applyNumberFormat="1" applyFont="1" applyFill="1" applyBorder="1" applyAlignment="1">
      <alignment horizontal="left" vertical="center"/>
      <protection/>
    </xf>
    <xf numFmtId="165" fontId="23" fillId="0" borderId="108" xfId="70" applyNumberFormat="1" applyFont="1" applyFill="1" applyBorder="1" applyAlignment="1">
      <alignment horizontal="right" vertical="center" wrapText="1"/>
      <protection/>
    </xf>
    <xf numFmtId="2" fontId="23" fillId="0" borderId="108" xfId="70" applyNumberFormat="1" applyFont="1" applyFill="1" applyBorder="1" applyAlignment="1">
      <alignment horizontal="right" vertical="center" wrapText="1"/>
      <protection/>
    </xf>
    <xf numFmtId="165" fontId="4" fillId="0" borderId="11" xfId="70" applyNumberFormat="1" applyFont="1" applyFill="1" applyBorder="1" applyAlignment="1">
      <alignment horizontal="center" vertical="center"/>
      <protection/>
    </xf>
    <xf numFmtId="165" fontId="4" fillId="0" borderId="11" xfId="70" applyNumberFormat="1" applyFont="1" applyFill="1" applyBorder="1" applyAlignment="1">
      <alignment horizontal="center" vertical="center" wrapText="1"/>
      <protection/>
    </xf>
    <xf numFmtId="165" fontId="67" fillId="0" borderId="11" xfId="70" applyNumberFormat="1" applyFont="1" applyFill="1" applyBorder="1" applyAlignment="1">
      <alignment horizontal="center" vertical="center" wrapText="1"/>
      <protection/>
    </xf>
    <xf numFmtId="165" fontId="68" fillId="0" borderId="11" xfId="70" applyNumberFormat="1" applyFont="1" applyFill="1" applyBorder="1" applyAlignment="1">
      <alignment horizontal="center" vertical="center" wrapText="1"/>
      <protection/>
    </xf>
    <xf numFmtId="165" fontId="69" fillId="0" borderId="109" xfId="70" applyNumberFormat="1" applyFont="1" applyFill="1" applyBorder="1" applyAlignment="1">
      <alignment horizontal="left" vertical="center"/>
      <protection/>
    </xf>
    <xf numFmtId="165" fontId="23" fillId="0" borderId="109" xfId="70" applyNumberFormat="1" applyFont="1" applyFill="1" applyBorder="1" applyAlignment="1">
      <alignment horizontal="right" vertical="center" wrapText="1"/>
      <protection/>
    </xf>
    <xf numFmtId="165" fontId="13" fillId="0" borderId="108" xfId="72" applyNumberFormat="1" applyFont="1" applyFill="1" applyBorder="1" applyAlignment="1">
      <alignment vertical="center"/>
      <protection/>
    </xf>
    <xf numFmtId="165" fontId="23" fillId="0" borderId="108" xfId="70" applyNumberFormat="1" applyFont="1" applyFill="1" applyBorder="1" applyAlignment="1">
      <alignment horizontal="right" vertical="center"/>
      <protection/>
    </xf>
    <xf numFmtId="165" fontId="23" fillId="0" borderId="108" xfId="75" applyNumberFormat="1" applyFont="1" applyFill="1" applyBorder="1" applyAlignment="1">
      <alignment horizontal="right"/>
      <protection/>
    </xf>
    <xf numFmtId="2" fontId="23" fillId="0" borderId="108" xfId="70" applyNumberFormat="1" applyFont="1" applyFill="1" applyBorder="1" applyAlignment="1">
      <alignment horizontal="right" vertical="center"/>
      <protection/>
    </xf>
    <xf numFmtId="165" fontId="62" fillId="0" borderId="11" xfId="70" applyNumberFormat="1" applyFont="1" applyFill="1" applyBorder="1" applyAlignment="1">
      <alignment horizontal="center" vertical="center"/>
      <protection/>
    </xf>
    <xf numFmtId="165" fontId="29" fillId="0" borderId="11" xfId="70" applyNumberFormat="1" applyFont="1" applyFill="1" applyBorder="1" applyAlignment="1">
      <alignment horizontal="right" vertical="center" wrapText="1"/>
      <protection/>
    </xf>
    <xf numFmtId="165" fontId="29" fillId="0" borderId="11" xfId="70" applyNumberFormat="1" applyFont="1" applyFill="1" applyBorder="1" applyAlignment="1">
      <alignment horizontal="center" vertical="center"/>
      <protection/>
    </xf>
    <xf numFmtId="2" fontId="29" fillId="0" borderId="11" xfId="70" applyNumberFormat="1" applyFont="1" applyFill="1" applyBorder="1" applyAlignment="1">
      <alignment horizontal="right" vertical="center" wrapText="1"/>
      <protection/>
    </xf>
    <xf numFmtId="165" fontId="69" fillId="0" borderId="109" xfId="72" applyNumberFormat="1" applyFont="1" applyFill="1" applyBorder="1" applyAlignment="1">
      <alignment horizontal="left" vertical="center"/>
      <protection/>
    </xf>
    <xf numFmtId="165" fontId="23" fillId="0" borderId="109" xfId="70" applyNumberFormat="1" applyFont="1" applyFill="1" applyBorder="1" applyAlignment="1">
      <alignment horizontal="right" vertical="center"/>
      <protection/>
    </xf>
    <xf numFmtId="165" fontId="62" fillId="0" borderId="11" xfId="72" applyNumberFormat="1" applyFont="1" applyFill="1" applyBorder="1" applyAlignment="1">
      <alignment horizontal="center" vertical="center"/>
      <protection/>
    </xf>
    <xf numFmtId="165" fontId="13" fillId="0" borderId="108" xfId="72" applyNumberFormat="1" applyFont="1" applyFill="1" applyBorder="1" applyAlignment="1">
      <alignment horizontal="left" vertical="center"/>
      <protection/>
    </xf>
    <xf numFmtId="166" fontId="66" fillId="0" borderId="108" xfId="70" applyNumberFormat="1" applyFont="1" applyFill="1" applyBorder="1" applyAlignment="1">
      <alignment horizontal="right" vertical="center"/>
      <protection/>
    </xf>
    <xf numFmtId="0" fontId="23" fillId="0" borderId="108" xfId="70" applyFont="1" applyFill="1" applyBorder="1" applyAlignment="1">
      <alignment horizontal="right" vertical="center"/>
      <protection/>
    </xf>
    <xf numFmtId="166" fontId="65" fillId="0" borderId="11" xfId="72" applyNumberFormat="1" applyFont="1" applyFill="1" applyBorder="1" applyAlignment="1">
      <alignment horizontal="left" vertical="center"/>
      <protection/>
    </xf>
    <xf numFmtId="165" fontId="29" fillId="0" borderId="11" xfId="70" applyNumberFormat="1" applyFont="1" applyFill="1" applyBorder="1" applyAlignment="1">
      <alignment horizontal="right" vertical="center" wrapText="1"/>
      <protection/>
    </xf>
    <xf numFmtId="165" fontId="23" fillId="0" borderId="11" xfId="70" applyNumberFormat="1" applyFont="1" applyFill="1" applyBorder="1" applyAlignment="1">
      <alignment horizontal="right" vertical="center"/>
      <protection/>
    </xf>
    <xf numFmtId="165" fontId="13" fillId="0" borderId="109" xfId="72" applyNumberFormat="1" applyFont="1" applyFill="1" applyBorder="1" applyAlignment="1">
      <alignment horizontal="left" vertical="center"/>
      <protection/>
    </xf>
    <xf numFmtId="166" fontId="66" fillId="0" borderId="109" xfId="70" applyNumberFormat="1" applyFont="1" applyFill="1" applyBorder="1" applyAlignment="1">
      <alignment horizontal="right" vertical="center"/>
      <protection/>
    </xf>
    <xf numFmtId="0" fontId="23" fillId="0" borderId="109" xfId="70" applyFont="1" applyFill="1" applyBorder="1" applyAlignment="1">
      <alignment horizontal="right" vertical="center"/>
      <protection/>
    </xf>
    <xf numFmtId="2" fontId="23" fillId="0" borderId="109" xfId="70" applyNumberFormat="1" applyFont="1" applyFill="1" applyBorder="1" applyAlignment="1">
      <alignment horizontal="right" vertical="center"/>
      <protection/>
    </xf>
    <xf numFmtId="3" fontId="23" fillId="0" borderId="108" xfId="70" applyNumberFormat="1" applyFont="1" applyFill="1" applyBorder="1" applyAlignment="1">
      <alignment horizontal="right" vertical="center"/>
      <protection/>
    </xf>
    <xf numFmtId="2" fontId="66" fillId="0" borderId="108" xfId="70" applyNumberFormat="1" applyFont="1" applyFill="1" applyBorder="1" applyAlignment="1">
      <alignment horizontal="right" vertical="center"/>
      <protection/>
    </xf>
    <xf numFmtId="165" fontId="4" fillId="0" borderId="11" xfId="72" applyNumberFormat="1" applyFont="1" applyFill="1" applyBorder="1" applyAlignment="1">
      <alignment horizontal="center" vertical="center"/>
      <protection/>
    </xf>
    <xf numFmtId="165" fontId="29" fillId="0" borderId="11" xfId="70" applyNumberFormat="1" applyFont="1" applyFill="1" applyBorder="1" applyAlignment="1">
      <alignment horizontal="right" vertical="center"/>
      <protection/>
    </xf>
    <xf numFmtId="2" fontId="29" fillId="0" borderId="11" xfId="70" applyNumberFormat="1" applyFont="1" applyFill="1" applyBorder="1" applyAlignment="1">
      <alignment horizontal="right" vertical="center"/>
      <protection/>
    </xf>
    <xf numFmtId="165" fontId="69" fillId="0" borderId="109" xfId="72" applyNumberFormat="1" applyFont="1" applyFill="1" applyBorder="1" applyAlignment="1">
      <alignment vertical="center"/>
      <protection/>
    </xf>
    <xf numFmtId="165" fontId="13" fillId="0" borderId="109" xfId="72" applyNumberFormat="1" applyFont="1" applyFill="1" applyBorder="1" applyAlignment="1">
      <alignment vertical="center"/>
      <protection/>
    </xf>
    <xf numFmtId="3" fontId="23" fillId="0" borderId="109" xfId="70" applyNumberFormat="1" applyFont="1" applyFill="1" applyBorder="1" applyAlignment="1">
      <alignment horizontal="right" vertical="center"/>
      <protection/>
    </xf>
    <xf numFmtId="165" fontId="29" fillId="0" borderId="108" xfId="70" applyNumberFormat="1" applyFont="1" applyFill="1" applyBorder="1" applyAlignment="1">
      <alignment horizontal="right" vertical="center"/>
      <protection/>
    </xf>
    <xf numFmtId="0" fontId="5" fillId="0" borderId="109" xfId="77" applyFont="1" applyBorder="1" applyAlignment="1">
      <alignment vertical="center" wrapText="1"/>
      <protection/>
    </xf>
    <xf numFmtId="165" fontId="62" fillId="0" borderId="110" xfId="72" applyNumberFormat="1" applyFont="1" applyFill="1" applyBorder="1" applyAlignment="1">
      <alignment horizontal="center" vertical="center"/>
      <protection/>
    </xf>
    <xf numFmtId="165" fontId="29" fillId="0" borderId="110" xfId="70" applyNumberFormat="1" applyFont="1" applyFill="1" applyBorder="1" applyAlignment="1">
      <alignment horizontal="right" vertical="center"/>
      <protection/>
    </xf>
    <xf numFmtId="165" fontId="29" fillId="0" borderId="110" xfId="70" applyNumberFormat="1" applyFont="1" applyFill="1" applyBorder="1" applyAlignment="1">
      <alignment horizontal="center" vertical="center"/>
      <protection/>
    </xf>
    <xf numFmtId="165" fontId="29" fillId="0" borderId="109" xfId="70" applyNumberFormat="1" applyFont="1" applyFill="1" applyBorder="1" applyAlignment="1">
      <alignment horizontal="right" vertical="center"/>
      <protection/>
    </xf>
    <xf numFmtId="0" fontId="5" fillId="0" borderId="111" xfId="77" applyFont="1" applyBorder="1" applyAlignment="1">
      <alignment vertical="center" wrapText="1"/>
      <protection/>
    </xf>
    <xf numFmtId="165" fontId="23" fillId="0" borderId="111" xfId="70" applyNumberFormat="1" applyFont="1" applyFill="1" applyBorder="1" applyAlignment="1">
      <alignment horizontal="right" vertical="center"/>
      <protection/>
    </xf>
    <xf numFmtId="2" fontId="23" fillId="0" borderId="111" xfId="70" applyNumberFormat="1" applyFont="1" applyFill="1" applyBorder="1" applyAlignment="1">
      <alignment horizontal="right" vertical="center"/>
      <protection/>
    </xf>
    <xf numFmtId="165" fontId="61" fillId="0" borderId="108" xfId="72" applyNumberFormat="1" applyFont="1" applyFill="1" applyBorder="1" applyAlignment="1">
      <alignment vertical="center"/>
      <protection/>
    </xf>
    <xf numFmtId="3" fontId="9" fillId="0" borderId="107" xfId="72" applyNumberFormat="1" applyFont="1" applyBorder="1" applyAlignment="1">
      <alignment vertical="center"/>
      <protection/>
    </xf>
    <xf numFmtId="3" fontId="9" fillId="0" borderId="92" xfId="71" applyNumberFormat="1" applyFont="1" applyBorder="1">
      <alignment/>
      <protection/>
    </xf>
    <xf numFmtId="164" fontId="71" fillId="0" borderId="32" xfId="72" applyNumberFormat="1" applyFont="1" applyBorder="1" applyAlignment="1">
      <alignment vertical="center"/>
      <protection/>
    </xf>
    <xf numFmtId="3" fontId="9" fillId="0" borderId="32" xfId="71" applyNumberFormat="1" applyFont="1" applyBorder="1">
      <alignment/>
      <protection/>
    </xf>
    <xf numFmtId="164" fontId="71" fillId="0" borderId="32" xfId="71" applyNumberFormat="1" applyFont="1" applyBorder="1">
      <alignment/>
      <protection/>
    </xf>
    <xf numFmtId="3" fontId="9" fillId="0" borderId="71" xfId="71" applyNumberFormat="1" applyFont="1" applyBorder="1">
      <alignment/>
      <protection/>
    </xf>
    <xf numFmtId="3" fontId="9" fillId="0" borderId="74" xfId="71" applyNumberFormat="1" applyFont="1" applyBorder="1">
      <alignment/>
      <protection/>
    </xf>
    <xf numFmtId="164" fontId="71" fillId="0" borderId="30" xfId="72" applyNumberFormat="1" applyFont="1" applyBorder="1" applyAlignment="1">
      <alignment vertical="center"/>
      <protection/>
    </xf>
    <xf numFmtId="3" fontId="9" fillId="0" borderId="30" xfId="71" applyNumberFormat="1" applyFont="1" applyBorder="1">
      <alignment/>
      <protection/>
    </xf>
    <xf numFmtId="164" fontId="71" fillId="0" borderId="30" xfId="71" applyNumberFormat="1" applyFont="1" applyBorder="1">
      <alignment/>
      <protection/>
    </xf>
    <xf numFmtId="3" fontId="9" fillId="0" borderId="35" xfId="71" applyNumberFormat="1" applyFont="1" applyBorder="1">
      <alignment/>
      <protection/>
    </xf>
    <xf numFmtId="3" fontId="9" fillId="0" borderId="74" xfId="71" applyNumberFormat="1" applyFont="1" applyBorder="1" applyAlignment="1">
      <alignment vertical="center"/>
      <protection/>
    </xf>
    <xf numFmtId="3" fontId="9" fillId="0" borderId="30" xfId="71" applyNumberFormat="1" applyFont="1" applyBorder="1" applyAlignment="1">
      <alignment vertical="center"/>
      <protection/>
    </xf>
    <xf numFmtId="3" fontId="9" fillId="0" borderId="35" xfId="71" applyNumberFormat="1" applyFont="1" applyBorder="1" applyAlignment="1">
      <alignment vertical="center"/>
      <protection/>
    </xf>
    <xf numFmtId="164" fontId="71" fillId="0" borderId="41" xfId="72" applyNumberFormat="1" applyFont="1" applyBorder="1" applyAlignment="1">
      <alignment vertical="center"/>
      <protection/>
    </xf>
    <xf numFmtId="164" fontId="71" fillId="0" borderId="41" xfId="71" applyNumberFormat="1" applyFont="1" applyBorder="1">
      <alignment/>
      <protection/>
    </xf>
    <xf numFmtId="3" fontId="73" fillId="0" borderId="11" xfId="72" applyNumberFormat="1" applyFont="1" applyBorder="1" applyAlignment="1">
      <alignment vertical="center"/>
      <protection/>
    </xf>
    <xf numFmtId="3" fontId="73" fillId="0" borderId="27" xfId="71" applyNumberFormat="1" applyFont="1" applyBorder="1" applyAlignment="1">
      <alignment vertical="center"/>
      <protection/>
    </xf>
    <xf numFmtId="164" fontId="74" fillId="0" borderId="69" xfId="72" applyNumberFormat="1" applyFont="1" applyBorder="1" applyAlignment="1">
      <alignment vertical="center"/>
      <protection/>
    </xf>
    <xf numFmtId="3" fontId="73" fillId="0" borderId="69" xfId="71" applyNumberFormat="1" applyFont="1" applyBorder="1" applyAlignment="1">
      <alignment vertical="center"/>
      <protection/>
    </xf>
    <xf numFmtId="164" fontId="74" fillId="0" borderId="69" xfId="71" applyNumberFormat="1" applyFont="1" applyBorder="1" applyAlignment="1">
      <alignment vertical="center"/>
      <protection/>
    </xf>
    <xf numFmtId="3" fontId="73" fillId="0" borderId="70" xfId="71" applyNumberFormat="1" applyFont="1" applyBorder="1" applyAlignment="1">
      <alignment vertical="center"/>
      <protection/>
    </xf>
    <xf numFmtId="3" fontId="9" fillId="0" borderId="109" xfId="72" applyNumberFormat="1" applyFont="1" applyBorder="1" applyAlignment="1">
      <alignment vertical="center"/>
      <protection/>
    </xf>
    <xf numFmtId="3" fontId="9" fillId="0" borderId="78" xfId="71" applyNumberFormat="1" applyFont="1" applyBorder="1" applyAlignment="1">
      <alignment vertical="center"/>
      <protection/>
    </xf>
    <xf numFmtId="3" fontId="9" fillId="0" borderId="41" xfId="71" applyNumberFormat="1" applyFont="1" applyBorder="1" applyAlignment="1">
      <alignment vertical="center"/>
      <protection/>
    </xf>
    <xf numFmtId="3" fontId="9" fillId="0" borderId="41" xfId="71" applyNumberFormat="1" applyFont="1" applyBorder="1">
      <alignment/>
      <protection/>
    </xf>
    <xf numFmtId="3" fontId="9" fillId="0" borderId="73" xfId="71" applyNumberFormat="1" applyFont="1" applyBorder="1" applyAlignment="1">
      <alignment vertical="center"/>
      <protection/>
    </xf>
    <xf numFmtId="3" fontId="60" fillId="0" borderId="11" xfId="72" applyNumberFormat="1" applyFont="1" applyBorder="1" applyAlignment="1">
      <alignment vertical="center"/>
      <protection/>
    </xf>
    <xf numFmtId="3" fontId="60" fillId="0" borderId="27" xfId="71" applyNumberFormat="1" applyFont="1" applyBorder="1" applyAlignment="1">
      <alignment vertical="center"/>
      <protection/>
    </xf>
    <xf numFmtId="164" fontId="71" fillId="0" borderId="69" xfId="72" applyNumberFormat="1" applyFont="1" applyBorder="1" applyAlignment="1">
      <alignment vertical="center"/>
      <protection/>
    </xf>
    <xf numFmtId="3" fontId="60" fillId="0" borderId="69" xfId="71" applyNumberFormat="1" applyFont="1" applyBorder="1" applyAlignment="1">
      <alignment vertical="center"/>
      <protection/>
    </xf>
    <xf numFmtId="164" fontId="71" fillId="0" borderId="69" xfId="71" applyNumberFormat="1" applyFont="1" applyBorder="1">
      <alignment/>
      <protection/>
    </xf>
    <xf numFmtId="3" fontId="60" fillId="0" borderId="70" xfId="71" applyNumberFormat="1" applyFont="1" applyBorder="1" applyAlignment="1">
      <alignment vertical="center"/>
      <protection/>
    </xf>
    <xf numFmtId="3" fontId="9" fillId="0" borderId="78" xfId="71" applyNumberFormat="1" applyFont="1" applyBorder="1">
      <alignment/>
      <protection/>
    </xf>
    <xf numFmtId="3" fontId="9" fillId="0" borderId="73" xfId="71" applyNumberFormat="1" applyFont="1" applyBorder="1">
      <alignment/>
      <protection/>
    </xf>
    <xf numFmtId="3" fontId="9" fillId="0" borderId="108" xfId="72" applyNumberFormat="1" applyFont="1" applyBorder="1" applyAlignment="1">
      <alignment vertical="center"/>
      <protection/>
    </xf>
    <xf numFmtId="3" fontId="9" fillId="0" borderId="77" xfId="71" applyNumberFormat="1" applyFont="1" applyBorder="1" applyAlignment="1">
      <alignment vertical="center"/>
      <protection/>
    </xf>
    <xf numFmtId="164" fontId="71" fillId="0" borderId="33" xfId="72" applyNumberFormat="1" applyFont="1" applyBorder="1" applyAlignment="1">
      <alignment vertical="center"/>
      <protection/>
    </xf>
    <xf numFmtId="3" fontId="9" fillId="0" borderId="33" xfId="71" applyNumberFormat="1" applyFont="1" applyBorder="1" applyAlignment="1">
      <alignment vertical="center"/>
      <protection/>
    </xf>
    <xf numFmtId="164" fontId="71" fillId="0" borderId="33" xfId="71" applyNumberFormat="1" applyFont="1" applyBorder="1">
      <alignment/>
      <protection/>
    </xf>
    <xf numFmtId="3" fontId="9" fillId="0" borderId="33" xfId="71" applyNumberFormat="1" applyFont="1" applyBorder="1">
      <alignment/>
      <protection/>
    </xf>
    <xf numFmtId="3" fontId="9" fillId="0" borderId="68" xfId="71" applyNumberFormat="1" applyFont="1" applyBorder="1" applyAlignment="1">
      <alignment vertical="center"/>
      <protection/>
    </xf>
    <xf numFmtId="164" fontId="72" fillId="0" borderId="69" xfId="72" applyNumberFormat="1" applyFont="1" applyBorder="1" applyAlignment="1">
      <alignment vertical="center"/>
      <protection/>
    </xf>
    <xf numFmtId="164" fontId="72" fillId="0" borderId="69" xfId="71" applyNumberFormat="1" applyFont="1" applyBorder="1">
      <alignment/>
      <protection/>
    </xf>
    <xf numFmtId="3" fontId="60" fillId="0" borderId="69" xfId="71" applyNumberFormat="1" applyFont="1" applyBorder="1">
      <alignment/>
      <protection/>
    </xf>
    <xf numFmtId="3" fontId="9" fillId="0" borderId="111" xfId="72" applyNumberFormat="1" applyFont="1" applyBorder="1" applyAlignment="1">
      <alignment vertical="center"/>
      <protection/>
    </xf>
    <xf numFmtId="3" fontId="9" fillId="0" borderId="101" xfId="71" applyNumberFormat="1" applyFont="1" applyBorder="1">
      <alignment/>
      <protection/>
    </xf>
    <xf numFmtId="164" fontId="71" fillId="0" borderId="102" xfId="72" applyNumberFormat="1" applyFont="1" applyBorder="1" applyAlignment="1">
      <alignment vertical="center"/>
      <protection/>
    </xf>
    <xf numFmtId="3" fontId="9" fillId="0" borderId="102" xfId="71" applyNumberFormat="1" applyFont="1" applyBorder="1">
      <alignment/>
      <protection/>
    </xf>
    <xf numFmtId="164" fontId="71" fillId="0" borderId="102" xfId="71" applyNumberFormat="1" applyFont="1" applyBorder="1">
      <alignment/>
      <protection/>
    </xf>
    <xf numFmtId="3" fontId="9" fillId="0" borderId="103" xfId="71" applyNumberFormat="1" applyFont="1" applyBorder="1">
      <alignment/>
      <protection/>
    </xf>
    <xf numFmtId="3" fontId="9" fillId="0" borderId="77" xfId="71" applyNumberFormat="1" applyFont="1" applyBorder="1">
      <alignment/>
      <protection/>
    </xf>
    <xf numFmtId="3" fontId="9" fillId="0" borderId="68" xfId="71" applyNumberFormat="1" applyFont="1" applyBorder="1">
      <alignment/>
      <protection/>
    </xf>
    <xf numFmtId="3" fontId="60" fillId="0" borderId="27" xfId="71" applyNumberFormat="1" applyFont="1" applyBorder="1">
      <alignment/>
      <protection/>
    </xf>
    <xf numFmtId="3" fontId="60" fillId="0" borderId="70" xfId="71" applyNumberFormat="1" applyFont="1" applyBorder="1">
      <alignment/>
      <protection/>
    </xf>
    <xf numFmtId="3" fontId="5" fillId="0" borderId="7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5" fillId="0" borderId="30" xfId="64" applyNumberFormat="1" applyFont="1" applyFill="1" applyBorder="1" applyAlignment="1">
      <alignment vertical="center" wrapText="1"/>
      <protection/>
    </xf>
    <xf numFmtId="164" fontId="5" fillId="0" borderId="87" xfId="59" applyNumberFormat="1" applyFont="1" applyFill="1" applyBorder="1" applyAlignment="1">
      <alignment vertical="center"/>
      <protection/>
    </xf>
    <xf numFmtId="167" fontId="66" fillId="0" borderId="102" xfId="68" applyNumberFormat="1" applyFont="1" applyFill="1" applyBorder="1" applyAlignment="1">
      <alignment vertical="center"/>
      <protection/>
    </xf>
    <xf numFmtId="0" fontId="4" fillId="0" borderId="112" xfId="77" applyFont="1" applyBorder="1" applyAlignment="1">
      <alignment horizontal="center" vertical="center"/>
      <protection/>
    </xf>
    <xf numFmtId="0" fontId="4" fillId="0" borderId="112" xfId="77" applyFont="1" applyFill="1" applyBorder="1" applyAlignment="1">
      <alignment horizontal="center" vertical="center"/>
      <protection/>
    </xf>
    <xf numFmtId="164" fontId="5" fillId="0" borderId="107" xfId="77" applyNumberFormat="1" applyFont="1" applyBorder="1" applyAlignment="1">
      <alignment vertical="center"/>
      <protection/>
    </xf>
    <xf numFmtId="164" fontId="61" fillId="0" borderId="107" xfId="68" applyNumberFormat="1" applyFont="1" applyFill="1" applyBorder="1" applyAlignment="1">
      <alignment vertical="center"/>
      <protection/>
    </xf>
    <xf numFmtId="4" fontId="61" fillId="0" borderId="107" xfId="68" applyNumberFormat="1" applyFont="1" applyFill="1" applyBorder="1" applyAlignment="1">
      <alignment vertical="center"/>
      <protection/>
    </xf>
    <xf numFmtId="164" fontId="5" fillId="0" borderId="109" xfId="77" applyNumberFormat="1" applyFont="1" applyBorder="1" applyAlignment="1">
      <alignment vertical="center"/>
      <protection/>
    </xf>
    <xf numFmtId="164" fontId="61" fillId="0" borderId="109" xfId="68" applyNumberFormat="1" applyFont="1" applyFill="1" applyBorder="1" applyAlignment="1">
      <alignment vertical="center"/>
      <protection/>
    </xf>
    <xf numFmtId="4" fontId="61" fillId="0" borderId="109" xfId="68" applyNumberFormat="1" applyFont="1" applyFill="1" applyBorder="1" applyAlignment="1">
      <alignment vertical="center"/>
      <protection/>
    </xf>
    <xf numFmtId="0" fontId="4" fillId="0" borderId="11" xfId="77" applyFont="1" applyBorder="1" applyAlignment="1">
      <alignment vertical="center" wrapText="1"/>
      <protection/>
    </xf>
    <xf numFmtId="164" fontId="4" fillId="0" borderId="11" xfId="77" applyNumberFormat="1" applyFont="1" applyBorder="1" applyAlignment="1">
      <alignment vertical="center"/>
      <protection/>
    </xf>
    <xf numFmtId="4" fontId="4" fillId="0" borderId="11" xfId="77" applyNumberFormat="1" applyFont="1" applyBorder="1" applyAlignment="1">
      <alignment vertical="center"/>
      <protection/>
    </xf>
    <xf numFmtId="164" fontId="61" fillId="0" borderId="107" xfId="68" applyNumberFormat="1" applyFont="1" applyFill="1" applyBorder="1" applyAlignment="1">
      <alignment vertical="center"/>
      <protection/>
    </xf>
    <xf numFmtId="4" fontId="61" fillId="0" borderId="107" xfId="68" applyNumberFormat="1" applyFont="1" applyFill="1" applyBorder="1" applyAlignment="1">
      <alignment vertical="center"/>
      <protection/>
    </xf>
    <xf numFmtId="166" fontId="23" fillId="0" borderId="107" xfId="72" applyNumberFormat="1" applyFont="1" applyFill="1" applyBorder="1" applyAlignment="1">
      <alignment vertical="center" wrapText="1"/>
      <protection/>
    </xf>
    <xf numFmtId="4" fontId="5" fillId="0" borderId="107" xfId="77" applyNumberFormat="1" applyFont="1" applyFill="1" applyBorder="1" applyAlignment="1">
      <alignment vertical="center"/>
      <protection/>
    </xf>
    <xf numFmtId="166" fontId="5" fillId="0" borderId="107" xfId="76" applyNumberFormat="1" applyFont="1" applyFill="1" applyBorder="1" applyAlignment="1">
      <alignment horizontal="left" vertical="center" wrapText="1"/>
      <protection/>
    </xf>
    <xf numFmtId="4" fontId="5" fillId="0" borderId="107" xfId="77" applyNumberFormat="1" applyFont="1" applyBorder="1" applyAlignment="1">
      <alignment vertical="center"/>
      <protection/>
    </xf>
    <xf numFmtId="4" fontId="5" fillId="0" borderId="109" xfId="77" applyNumberFormat="1" applyFont="1" applyBorder="1" applyAlignment="1">
      <alignment vertical="center"/>
      <protection/>
    </xf>
    <xf numFmtId="0" fontId="4" fillId="0" borderId="11" xfId="65" applyFont="1" applyBorder="1" applyAlignment="1">
      <alignment vertical="center" wrapText="1"/>
      <protection/>
    </xf>
    <xf numFmtId="2" fontId="4" fillId="0" borderId="11" xfId="65" applyNumberFormat="1" applyFont="1" applyBorder="1" applyAlignment="1">
      <alignment vertical="center"/>
      <protection/>
    </xf>
    <xf numFmtId="2" fontId="4" fillId="0" borderId="11" xfId="77" applyNumberFormat="1" applyFont="1" applyBorder="1" applyAlignment="1">
      <alignment horizontal="right" vertical="center"/>
      <protection/>
    </xf>
    <xf numFmtId="4" fontId="4" fillId="0" borderId="11" xfId="77" applyNumberFormat="1" applyFont="1" applyBorder="1" applyAlignment="1">
      <alignment horizontal="right" vertical="center"/>
      <protection/>
    </xf>
    <xf numFmtId="164" fontId="61" fillId="0" borderId="107" xfId="77" applyNumberFormat="1" applyFont="1" applyBorder="1" applyAlignment="1">
      <alignment vertical="center"/>
      <protection/>
    </xf>
    <xf numFmtId="164" fontId="61" fillId="0" borderId="109" xfId="77" applyNumberFormat="1" applyFont="1" applyBorder="1" applyAlignment="1">
      <alignment vertical="center"/>
      <protection/>
    </xf>
    <xf numFmtId="164" fontId="62" fillId="0" borderId="11" xfId="77" applyNumberFormat="1" applyFont="1" applyBorder="1" applyAlignment="1">
      <alignment vertical="center"/>
      <protection/>
    </xf>
    <xf numFmtId="166" fontId="5" fillId="0" borderId="108" xfId="61" applyNumberFormat="1" applyFont="1" applyBorder="1" applyAlignment="1">
      <alignment vertical="center" wrapText="1"/>
      <protection/>
    </xf>
    <xf numFmtId="164" fontId="61" fillId="0" borderId="108" xfId="77" applyNumberFormat="1" applyFont="1" applyBorder="1" applyAlignment="1">
      <alignment vertical="center"/>
      <protection/>
    </xf>
    <xf numFmtId="164" fontId="5" fillId="0" borderId="108" xfId="77" applyNumberFormat="1" applyFont="1" applyBorder="1" applyAlignment="1">
      <alignment vertical="center"/>
      <protection/>
    </xf>
    <xf numFmtId="4" fontId="5" fillId="0" borderId="108" xfId="77" applyNumberFormat="1" applyFont="1" applyBorder="1" applyAlignment="1">
      <alignment vertical="center"/>
      <protection/>
    </xf>
    <xf numFmtId="3" fontId="5" fillId="0" borderId="107" xfId="67" applyNumberFormat="1" applyFont="1" applyFill="1" applyBorder="1" applyAlignment="1">
      <alignment vertical="center" wrapText="1"/>
      <protection/>
    </xf>
    <xf numFmtId="166" fontId="5" fillId="0" borderId="108" xfId="76" applyNumberFormat="1" applyFont="1" applyFill="1" applyBorder="1" applyAlignment="1">
      <alignment horizontal="left" vertical="center" wrapText="1"/>
      <protection/>
    </xf>
    <xf numFmtId="166" fontId="5" fillId="0" borderId="107" xfId="61" applyNumberFormat="1" applyFont="1" applyBorder="1" applyAlignment="1">
      <alignment vertical="center" wrapText="1"/>
      <protection/>
    </xf>
    <xf numFmtId="166" fontId="4" fillId="0" borderId="11" xfId="77" applyNumberFormat="1" applyFont="1" applyFill="1" applyBorder="1" applyAlignment="1">
      <alignment vertical="center" wrapText="1"/>
      <protection/>
    </xf>
    <xf numFmtId="4" fontId="62" fillId="0" borderId="11" xfId="77" applyNumberFormat="1" applyFont="1" applyBorder="1" applyAlignment="1">
      <alignment vertical="center"/>
      <protection/>
    </xf>
    <xf numFmtId="0" fontId="5" fillId="0" borderId="108" xfId="77" applyFont="1" applyBorder="1" applyAlignment="1">
      <alignment vertical="center" wrapText="1"/>
      <protection/>
    </xf>
    <xf numFmtId="4" fontId="61" fillId="0" borderId="108" xfId="68" applyNumberFormat="1" applyFont="1" applyFill="1" applyBorder="1" applyAlignment="1">
      <alignment vertical="center"/>
      <protection/>
    </xf>
    <xf numFmtId="3" fontId="5" fillId="0" borderId="107" xfId="72" applyNumberFormat="1" applyFont="1" applyBorder="1" applyAlignment="1">
      <alignment vertical="center"/>
      <protection/>
    </xf>
    <xf numFmtId="3" fontId="5" fillId="0" borderId="107" xfId="72" applyNumberFormat="1" applyFont="1" applyBorder="1" applyAlignment="1">
      <alignment vertical="center" wrapText="1"/>
      <protection/>
    </xf>
    <xf numFmtId="0" fontId="5" fillId="0" borderId="107" xfId="0" applyFont="1" applyBorder="1" applyAlignment="1">
      <alignment vertical="center" wrapText="1"/>
    </xf>
    <xf numFmtId="4" fontId="61" fillId="0" borderId="109" xfId="68" applyNumberFormat="1" applyFont="1" applyFill="1" applyBorder="1" applyAlignment="1">
      <alignment vertical="center"/>
      <protection/>
    </xf>
    <xf numFmtId="164" fontId="61" fillId="0" borderId="109" xfId="68" applyNumberFormat="1" applyFont="1" applyFill="1" applyBorder="1" applyAlignment="1">
      <alignment vertical="center"/>
      <protection/>
    </xf>
    <xf numFmtId="0" fontId="4" fillId="0" borderId="11" xfId="77" applyFont="1" applyBorder="1" applyAlignment="1">
      <alignment horizontal="left" vertical="center" wrapText="1"/>
      <protection/>
    </xf>
    <xf numFmtId="164" fontId="4" fillId="0" borderId="11" xfId="77" applyNumberFormat="1" applyFont="1" applyBorder="1" applyAlignment="1">
      <alignment vertical="center"/>
      <protection/>
    </xf>
    <xf numFmtId="4" fontId="4" fillId="0" borderId="11" xfId="77" applyNumberFormat="1" applyFont="1" applyBorder="1" applyAlignment="1">
      <alignment vertical="center"/>
      <protection/>
    </xf>
    <xf numFmtId="166" fontId="4" fillId="0" borderId="105" xfId="77" applyNumberFormat="1" applyFont="1" applyBorder="1" applyAlignment="1">
      <alignment horizontal="right" vertical="center"/>
      <protection/>
    </xf>
    <xf numFmtId="0" fontId="23" fillId="0" borderId="74" xfId="0" applyFont="1" applyBorder="1" applyAlignment="1">
      <alignment vertical="center" wrapText="1"/>
    </xf>
    <xf numFmtId="0" fontId="3" fillId="0" borderId="0" xfId="73">
      <alignment/>
      <protection/>
    </xf>
    <xf numFmtId="166" fontId="30" fillId="0" borderId="0" xfId="79" applyNumberFormat="1" applyFont="1" applyAlignment="1">
      <alignment horizontal="right" vertical="center"/>
      <protection/>
    </xf>
    <xf numFmtId="166" fontId="6" fillId="0" borderId="0" xfId="79" applyNumberFormat="1" applyFont="1" applyAlignment="1">
      <alignment horizontal="center" vertical="center"/>
      <protection/>
    </xf>
    <xf numFmtId="0" fontId="30" fillId="0" borderId="0" xfId="79" applyFont="1" applyAlignment="1">
      <alignment vertical="center"/>
      <protection/>
    </xf>
    <xf numFmtId="3" fontId="30" fillId="0" borderId="0" xfId="79" applyNumberFormat="1" applyFont="1" applyAlignment="1">
      <alignment vertical="center"/>
      <protection/>
    </xf>
    <xf numFmtId="10" fontId="30" fillId="0" borderId="0" xfId="79" applyNumberFormat="1" applyFont="1" applyAlignment="1">
      <alignment vertical="center"/>
      <protection/>
    </xf>
    <xf numFmtId="0" fontId="6" fillId="0" borderId="0" xfId="79" applyFont="1" applyAlignment="1">
      <alignment vertical="center"/>
      <protection/>
    </xf>
    <xf numFmtId="0" fontId="30" fillId="0" borderId="0" xfId="79" applyFont="1" applyAlignment="1">
      <alignment horizontal="right" vertical="center"/>
      <protection/>
    </xf>
    <xf numFmtId="0" fontId="6" fillId="0" borderId="110" xfId="79" applyFont="1" applyBorder="1" applyAlignment="1">
      <alignment horizontal="center" vertical="center" wrapText="1"/>
      <protection/>
    </xf>
    <xf numFmtId="0" fontId="6" fillId="0" borderId="113" xfId="79" applyFont="1" applyBorder="1" applyAlignment="1">
      <alignment horizontal="center" vertical="center"/>
      <protection/>
    </xf>
    <xf numFmtId="0" fontId="73" fillId="0" borderId="93" xfId="79" applyFont="1" applyBorder="1" applyAlignment="1">
      <alignment vertical="center"/>
      <protection/>
    </xf>
    <xf numFmtId="0" fontId="30" fillId="0" borderId="0" xfId="79" applyFont="1" applyBorder="1" applyAlignment="1">
      <alignment vertical="center"/>
      <protection/>
    </xf>
    <xf numFmtId="10" fontId="30" fillId="0" borderId="93" xfId="79" applyNumberFormat="1" applyFont="1" applyBorder="1" applyAlignment="1">
      <alignment vertical="center"/>
      <protection/>
    </xf>
    <xf numFmtId="3" fontId="30" fillId="0" borderId="0" xfId="79" applyNumberFormat="1" applyFont="1" applyBorder="1" applyAlignment="1">
      <alignment vertical="center"/>
      <protection/>
    </xf>
    <xf numFmtId="0" fontId="30" fillId="0" borderId="114" xfId="79" applyFont="1" applyBorder="1" applyAlignment="1">
      <alignment vertical="center"/>
      <protection/>
    </xf>
    <xf numFmtId="0" fontId="30" fillId="0" borderId="111" xfId="79" applyFont="1" applyBorder="1" applyAlignment="1">
      <alignment vertical="center"/>
      <protection/>
    </xf>
    <xf numFmtId="0" fontId="30" fillId="0" borderId="93" xfId="79" applyFont="1" applyBorder="1" applyAlignment="1">
      <alignment vertical="center"/>
      <protection/>
    </xf>
    <xf numFmtId="0" fontId="30" fillId="0" borderId="89" xfId="79" applyFont="1" applyBorder="1" applyAlignment="1">
      <alignment horizontal="center" vertical="center"/>
      <protection/>
    </xf>
    <xf numFmtId="10" fontId="30" fillId="0" borderId="93" xfId="79" applyNumberFormat="1" applyFont="1" applyBorder="1" applyAlignment="1">
      <alignment horizontal="center" vertical="center"/>
      <protection/>
    </xf>
    <xf numFmtId="3" fontId="30" fillId="0" borderId="89" xfId="79" applyNumberFormat="1" applyFont="1" applyBorder="1" applyAlignment="1">
      <alignment vertical="center"/>
      <protection/>
    </xf>
    <xf numFmtId="0" fontId="30" fillId="0" borderId="0" xfId="79" applyFont="1" applyBorder="1" applyAlignment="1">
      <alignment horizontal="center" vertical="center"/>
      <protection/>
    </xf>
    <xf numFmtId="10" fontId="30" fillId="0" borderId="115" xfId="79" applyNumberFormat="1" applyFont="1" applyBorder="1" applyAlignment="1">
      <alignment vertical="center"/>
      <protection/>
    </xf>
    <xf numFmtId="10" fontId="30" fillId="0" borderId="89" xfId="79" applyNumberFormat="1" applyFont="1" applyBorder="1" applyAlignment="1">
      <alignment vertical="center"/>
      <protection/>
    </xf>
    <xf numFmtId="10" fontId="30" fillId="0" borderId="113" xfId="79" applyNumberFormat="1" applyFont="1" applyBorder="1" applyAlignment="1">
      <alignment vertical="center"/>
      <protection/>
    </xf>
    <xf numFmtId="2" fontId="76" fillId="0" borderId="110" xfId="79" applyNumberFormat="1" applyFont="1" applyBorder="1" applyAlignment="1">
      <alignment horizontal="center" vertical="center" wrapText="1"/>
      <protection/>
    </xf>
    <xf numFmtId="0" fontId="30" fillId="0" borderId="113" xfId="79" applyFont="1" applyBorder="1" applyAlignment="1">
      <alignment vertical="center"/>
      <protection/>
    </xf>
    <xf numFmtId="2" fontId="30" fillId="0" borderId="111" xfId="79" applyNumberFormat="1" applyFont="1" applyBorder="1" applyAlignment="1">
      <alignment vertical="center"/>
      <protection/>
    </xf>
    <xf numFmtId="3" fontId="30" fillId="0" borderId="116" xfId="79" applyNumberFormat="1" applyFont="1" applyBorder="1" applyAlignment="1">
      <alignment vertical="center"/>
      <protection/>
    </xf>
    <xf numFmtId="3" fontId="30" fillId="0" borderId="114" xfId="79" applyNumberFormat="1" applyFont="1" applyBorder="1" applyAlignment="1">
      <alignment vertical="center"/>
      <protection/>
    </xf>
    <xf numFmtId="10" fontId="30" fillId="0" borderId="115" xfId="79" applyNumberFormat="1" applyFont="1" applyBorder="1" applyAlignment="1">
      <alignment horizontal="center" vertical="center"/>
      <protection/>
    </xf>
    <xf numFmtId="10" fontId="30" fillId="0" borderId="89" xfId="79" applyNumberFormat="1" applyFont="1" applyBorder="1" applyAlignment="1">
      <alignment horizontal="center" vertical="center"/>
      <protection/>
    </xf>
    <xf numFmtId="10" fontId="30" fillId="0" borderId="113" xfId="79" applyNumberFormat="1" applyFont="1" applyBorder="1" applyAlignment="1">
      <alignment horizontal="center" vertical="center"/>
      <protection/>
    </xf>
    <xf numFmtId="0" fontId="30" fillId="0" borderId="93" xfId="79" applyFont="1" applyBorder="1" applyAlignment="1">
      <alignment horizontal="center" vertical="center"/>
      <protection/>
    </xf>
    <xf numFmtId="0" fontId="75" fillId="0" borderId="0" xfId="79" applyFont="1" applyBorder="1" applyAlignment="1">
      <alignment horizontal="center" vertical="center" wrapText="1"/>
      <protection/>
    </xf>
    <xf numFmtId="10" fontId="30" fillId="0" borderId="0" xfId="79" applyNumberFormat="1" applyFont="1" applyBorder="1" applyAlignment="1">
      <alignment vertical="center"/>
      <protection/>
    </xf>
    <xf numFmtId="10" fontId="77" fillId="0" borderId="0" xfId="79" applyNumberFormat="1" applyFont="1" applyBorder="1" applyAlignment="1">
      <alignment horizontal="center" vertical="center" wrapText="1"/>
      <protection/>
    </xf>
    <xf numFmtId="2" fontId="76" fillId="0" borderId="0" xfId="79" applyNumberFormat="1" applyFont="1" applyBorder="1" applyAlignment="1">
      <alignment horizontal="center" vertical="center" wrapText="1"/>
      <protection/>
    </xf>
    <xf numFmtId="0" fontId="6" fillId="0" borderId="93" xfId="79" applyFont="1" applyBorder="1" applyAlignment="1">
      <alignment horizontal="center" vertical="center"/>
      <protection/>
    </xf>
    <xf numFmtId="0" fontId="6" fillId="0" borderId="0" xfId="79" applyFont="1" applyBorder="1" applyAlignment="1">
      <alignment horizontal="center" vertical="center"/>
      <protection/>
    </xf>
    <xf numFmtId="3" fontId="6" fillId="0" borderId="93" xfId="79" applyNumberFormat="1" applyFont="1" applyBorder="1" applyAlignment="1">
      <alignment horizontal="center" vertical="center"/>
      <protection/>
    </xf>
    <xf numFmtId="3" fontId="6" fillId="0" borderId="0" xfId="79" applyNumberFormat="1" applyFont="1" applyBorder="1" applyAlignment="1">
      <alignment horizontal="center" vertical="center"/>
      <protection/>
    </xf>
    <xf numFmtId="3" fontId="6" fillId="0" borderId="114" xfId="79" applyNumberFormat="1" applyFont="1" applyBorder="1" applyAlignment="1">
      <alignment horizontal="center" vertical="center"/>
      <protection/>
    </xf>
    <xf numFmtId="0" fontId="6" fillId="0" borderId="111" xfId="79" applyFont="1" applyBorder="1" applyAlignment="1">
      <alignment horizontal="center" vertical="center"/>
      <protection/>
    </xf>
    <xf numFmtId="0" fontId="6" fillId="0" borderId="114" xfId="79" applyFont="1" applyBorder="1" applyAlignment="1">
      <alignment horizontal="center" vertical="center"/>
      <protection/>
    </xf>
    <xf numFmtId="2" fontId="77" fillId="0" borderId="110" xfId="79" applyNumberFormat="1" applyFont="1" applyBorder="1" applyAlignment="1">
      <alignment horizontal="center" vertical="center" wrapText="1"/>
      <protection/>
    </xf>
    <xf numFmtId="0" fontId="30" fillId="0" borderId="110" xfId="79" applyFont="1" applyBorder="1" applyAlignment="1">
      <alignment vertical="center"/>
      <protection/>
    </xf>
    <xf numFmtId="0" fontId="30" fillId="0" borderId="117" xfId="79" applyFont="1" applyBorder="1" applyAlignment="1">
      <alignment vertical="center"/>
      <protection/>
    </xf>
    <xf numFmtId="10" fontId="30" fillId="0" borderId="93" xfId="79" applyNumberFormat="1" applyFont="1" applyBorder="1" applyAlignment="1">
      <alignment horizontal="left" vertical="center"/>
      <protection/>
    </xf>
    <xf numFmtId="10" fontId="30" fillId="0" borderId="115" xfId="79" applyNumberFormat="1" applyFont="1" applyBorder="1" applyAlignment="1">
      <alignment horizontal="left" vertical="center"/>
      <protection/>
    </xf>
    <xf numFmtId="0" fontId="30" fillId="0" borderId="0" xfId="73" applyFont="1">
      <alignment/>
      <protection/>
    </xf>
    <xf numFmtId="0" fontId="5" fillId="0" borderId="87" xfId="0" applyFont="1" applyBorder="1" applyAlignment="1">
      <alignment horizontal="center" vertical="center" wrapText="1"/>
    </xf>
    <xf numFmtId="0" fontId="4" fillId="0" borderId="32" xfId="69" applyFont="1" applyFill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32" fillId="0" borderId="93" xfId="0" applyFont="1" applyBorder="1" applyAlignment="1">
      <alignment horizontal="center" vertical="center" wrapText="1"/>
    </xf>
    <xf numFmtId="0" fontId="32" fillId="0" borderId="93" xfId="0" applyFont="1" applyBorder="1" applyAlignment="1">
      <alignment vertical="center" wrapText="1"/>
    </xf>
    <xf numFmtId="0" fontId="4" fillId="0" borderId="92" xfId="0" applyFont="1" applyBorder="1" applyAlignment="1">
      <alignment horizontal="center" vertical="center"/>
    </xf>
    <xf numFmtId="0" fontId="4" fillId="0" borderId="81" xfId="0" applyFont="1" applyBorder="1" applyAlignment="1">
      <alignment vertical="center" wrapText="1"/>
    </xf>
    <xf numFmtId="0" fontId="4" fillId="0" borderId="0" xfId="59" applyFont="1" applyFill="1" applyAlignment="1">
      <alignment horizontal="center" vertical="center" wrapText="1"/>
      <protection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166" fontId="4" fillId="0" borderId="118" xfId="69" applyNumberFormat="1" applyFont="1" applyFill="1" applyBorder="1" applyAlignment="1">
      <alignment horizontal="center" vertical="center"/>
      <protection/>
    </xf>
    <xf numFmtId="166" fontId="4" fillId="0" borderId="116" xfId="69" applyNumberFormat="1" applyFont="1" applyFill="1" applyBorder="1" applyAlignment="1">
      <alignment horizontal="center" vertical="center"/>
      <protection/>
    </xf>
    <xf numFmtId="166" fontId="4" fillId="0" borderId="119" xfId="69" applyNumberFormat="1" applyFont="1" applyFill="1" applyBorder="1" applyAlignment="1">
      <alignment horizontal="center" vertical="center"/>
      <protection/>
    </xf>
    <xf numFmtId="166" fontId="4" fillId="0" borderId="86" xfId="0" applyNumberFormat="1" applyFont="1" applyFill="1" applyBorder="1" applyAlignment="1">
      <alignment horizontal="center" vertical="center" wrapText="1"/>
    </xf>
    <xf numFmtId="166" fontId="5" fillId="0" borderId="87" xfId="0" applyNumberFormat="1" applyFont="1" applyBorder="1" applyAlignment="1">
      <alignment horizontal="center" vertical="center" wrapText="1"/>
    </xf>
    <xf numFmtId="0" fontId="5" fillId="0" borderId="30" xfId="66" applyFont="1" applyBorder="1" applyAlignment="1">
      <alignment vertical="center"/>
      <protection/>
    </xf>
    <xf numFmtId="0" fontId="5" fillId="0" borderId="35" xfId="66" applyFont="1" applyBorder="1" applyAlignment="1">
      <alignment vertical="center"/>
      <protection/>
    </xf>
    <xf numFmtId="0" fontId="5" fillId="0" borderId="120" xfId="66" applyFont="1" applyBorder="1" applyAlignment="1">
      <alignment vertical="center"/>
      <protection/>
    </xf>
    <xf numFmtId="0" fontId="5" fillId="0" borderId="34" xfId="66" applyFont="1" applyBorder="1" applyAlignment="1">
      <alignment vertical="center"/>
      <protection/>
    </xf>
    <xf numFmtId="0" fontId="5" fillId="0" borderId="91" xfId="66" applyFont="1" applyBorder="1" applyAlignment="1">
      <alignment horizontal="center" vertical="center"/>
      <protection/>
    </xf>
    <xf numFmtId="0" fontId="5" fillId="0" borderId="90" xfId="66" applyFont="1" applyBorder="1" applyAlignment="1">
      <alignment horizontal="center" vertical="center"/>
      <protection/>
    </xf>
    <xf numFmtId="0" fontId="5" fillId="0" borderId="121" xfId="66" applyFont="1" applyBorder="1" applyAlignment="1">
      <alignment vertical="center"/>
      <protection/>
    </xf>
    <xf numFmtId="0" fontId="5" fillId="0" borderId="36" xfId="66" applyFont="1" applyBorder="1" applyAlignment="1">
      <alignment vertical="center"/>
      <protection/>
    </xf>
    <xf numFmtId="0" fontId="6" fillId="0" borderId="0" xfId="66" applyFont="1" applyAlignment="1">
      <alignment horizontal="center" vertical="center"/>
      <protection/>
    </xf>
    <xf numFmtId="0" fontId="4" fillId="0" borderId="74" xfId="66" applyFont="1" applyBorder="1" applyAlignment="1">
      <alignment vertical="center"/>
      <protection/>
    </xf>
    <xf numFmtId="0" fontId="4" fillId="0" borderId="30" xfId="66" applyFont="1" applyBorder="1" applyAlignment="1">
      <alignment vertical="center"/>
      <protection/>
    </xf>
    <xf numFmtId="0" fontId="4" fillId="0" borderId="86" xfId="66" applyFont="1" applyBorder="1" applyAlignment="1">
      <alignment horizontal="center" vertical="center" wrapText="1"/>
      <protection/>
    </xf>
    <xf numFmtId="0" fontId="4" fillId="0" borderId="87" xfId="66" applyFont="1" applyBorder="1" applyAlignment="1">
      <alignment horizontal="center" vertical="center" wrapText="1"/>
      <protection/>
    </xf>
    <xf numFmtId="0" fontId="6" fillId="0" borderId="79" xfId="66" applyFont="1" applyBorder="1" applyAlignment="1">
      <alignment horizontal="center" vertical="center"/>
      <protection/>
    </xf>
    <xf numFmtId="0" fontId="6" fillId="0" borderId="80" xfId="66" applyFont="1" applyBorder="1" applyAlignment="1">
      <alignment horizontal="center" vertical="center"/>
      <protection/>
    </xf>
    <xf numFmtId="0" fontId="6" fillId="0" borderId="86" xfId="66" applyFont="1" applyBorder="1" applyAlignment="1">
      <alignment horizontal="center" vertical="center"/>
      <protection/>
    </xf>
    <xf numFmtId="0" fontId="4" fillId="0" borderId="92" xfId="66" applyFont="1" applyBorder="1" applyAlignment="1">
      <alignment horizontal="center" vertical="center"/>
      <protection/>
    </xf>
    <xf numFmtId="0" fontId="4" fillId="0" borderId="32" xfId="66" applyFont="1" applyBorder="1" applyAlignment="1">
      <alignment horizontal="center" vertical="center"/>
      <protection/>
    </xf>
    <xf numFmtId="0" fontId="4" fillId="0" borderId="75" xfId="66" applyFont="1" applyBorder="1" applyAlignment="1">
      <alignment horizontal="center" vertical="center"/>
      <protection/>
    </xf>
    <xf numFmtId="0" fontId="4" fillId="0" borderId="16" xfId="66" applyFont="1" applyBorder="1" applyAlignment="1">
      <alignment horizontal="center" vertical="center"/>
      <protection/>
    </xf>
    <xf numFmtId="0" fontId="4" fillId="0" borderId="77" xfId="66" applyFont="1" applyBorder="1" applyAlignment="1">
      <alignment vertical="center"/>
      <protection/>
    </xf>
    <xf numFmtId="0" fontId="4" fillId="0" borderId="33" xfId="66" applyFont="1" applyBorder="1" applyAlignment="1">
      <alignment vertical="center"/>
      <protection/>
    </xf>
    <xf numFmtId="0" fontId="5" fillId="0" borderId="120" xfId="66" applyFont="1" applyBorder="1" applyAlignment="1">
      <alignment horizontal="left" vertical="center"/>
      <protection/>
    </xf>
    <xf numFmtId="0" fontId="5" fillId="0" borderId="34" xfId="66" applyFont="1" applyBorder="1" applyAlignment="1">
      <alignment horizontal="left" vertical="center"/>
      <protection/>
    </xf>
    <xf numFmtId="0" fontId="4" fillId="0" borderId="92" xfId="69" applyFont="1" applyFill="1" applyBorder="1" applyAlignment="1">
      <alignment horizontal="center" vertical="center"/>
      <protection/>
    </xf>
    <xf numFmtId="0" fontId="4" fillId="0" borderId="75" xfId="69" applyFont="1" applyFill="1" applyBorder="1" applyAlignment="1">
      <alignment horizontal="center" vertical="center"/>
      <protection/>
    </xf>
    <xf numFmtId="164" fontId="6" fillId="0" borderId="0" xfId="0" applyNumberFormat="1" applyFont="1" applyBorder="1" applyAlignment="1">
      <alignment horizontal="center" vertical="center"/>
    </xf>
    <xf numFmtId="3" fontId="4" fillId="0" borderId="122" xfId="0" applyNumberFormat="1" applyFont="1" applyBorder="1" applyAlignment="1">
      <alignment horizontal="left" vertical="center"/>
    </xf>
    <xf numFmtId="3" fontId="4" fillId="0" borderId="80" xfId="0" applyNumberFormat="1" applyFont="1" applyBorder="1" applyAlignment="1">
      <alignment horizontal="left" vertical="center"/>
    </xf>
    <xf numFmtId="3" fontId="4" fillId="0" borderId="86" xfId="0" applyNumberFormat="1" applyFont="1" applyBorder="1" applyAlignment="1">
      <alignment horizontal="left" vertical="center"/>
    </xf>
    <xf numFmtId="0" fontId="4" fillId="0" borderId="79" xfId="69" applyFont="1" applyFill="1" applyBorder="1" applyAlignment="1">
      <alignment horizontal="center" vertical="center"/>
      <protection/>
    </xf>
    <xf numFmtId="0" fontId="4" fillId="0" borderId="80" xfId="69" applyFont="1" applyFill="1" applyBorder="1" applyAlignment="1">
      <alignment horizontal="center" vertical="center"/>
      <protection/>
    </xf>
    <xf numFmtId="0" fontId="4" fillId="0" borderId="86" xfId="69" applyFont="1" applyFill="1" applyBorder="1" applyAlignment="1">
      <alignment horizontal="center" vertical="center"/>
      <protection/>
    </xf>
    <xf numFmtId="0" fontId="4" fillId="0" borderId="80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19" xfId="69" applyFont="1" applyFill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4" fillId="0" borderId="123" xfId="69" applyFont="1" applyFill="1" applyBorder="1" applyAlignment="1">
      <alignment horizontal="center" vertical="center"/>
      <protection/>
    </xf>
    <xf numFmtId="3" fontId="4" fillId="0" borderId="124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59" fillId="0" borderId="125" xfId="77" applyFont="1" applyBorder="1" applyAlignment="1">
      <alignment horizontal="left" vertical="center" wrapText="1" indent="3"/>
      <protection/>
    </xf>
    <xf numFmtId="0" fontId="4" fillId="0" borderId="125" xfId="77" applyFont="1" applyFill="1" applyBorder="1" applyAlignment="1">
      <alignment horizontal="center" vertical="center" wrapText="1"/>
      <protection/>
    </xf>
    <xf numFmtId="0" fontId="4" fillId="0" borderId="112" xfId="77" applyFont="1" applyFill="1" applyBorder="1" applyAlignment="1">
      <alignment horizontal="center" vertical="center" wrapText="1"/>
      <protection/>
    </xf>
    <xf numFmtId="0" fontId="60" fillId="0" borderId="0" xfId="77" applyFont="1" applyAlignment="1">
      <alignment horizontal="center" vertical="center" wrapText="1"/>
      <protection/>
    </xf>
    <xf numFmtId="0" fontId="4" fillId="0" borderId="125" xfId="77" applyFont="1" applyBorder="1" applyAlignment="1">
      <alignment horizontal="center" vertical="center"/>
      <protection/>
    </xf>
    <xf numFmtId="0" fontId="4" fillId="0" borderId="0" xfId="77" applyFont="1" applyFill="1" applyAlignment="1">
      <alignment horizontal="center" vertical="center" wrapText="1"/>
      <protection/>
    </xf>
    <xf numFmtId="166" fontId="5" fillId="0" borderId="0" xfId="77" applyNumberFormat="1" applyFont="1" applyAlignment="1">
      <alignment horizontal="left" vertical="center" wrapText="1"/>
      <protection/>
    </xf>
    <xf numFmtId="166" fontId="5" fillId="0" borderId="0" xfId="77" applyNumberFormat="1" applyFont="1" applyAlignment="1">
      <alignment horizontal="left" vertical="center"/>
      <protection/>
    </xf>
    <xf numFmtId="166" fontId="5" fillId="0" borderId="0" xfId="77" applyNumberFormat="1" applyFont="1" applyAlignment="1">
      <alignment horizontal="left"/>
      <protection/>
    </xf>
    <xf numFmtId="166" fontId="4" fillId="0" borderId="92" xfId="77" applyNumberFormat="1" applyFont="1" applyFill="1" applyBorder="1" applyAlignment="1">
      <alignment horizontal="center" vertical="center" wrapText="1"/>
      <protection/>
    </xf>
    <xf numFmtId="166" fontId="4" fillId="0" borderId="75" xfId="77" applyNumberFormat="1" applyFont="1" applyFill="1" applyBorder="1" applyAlignment="1">
      <alignment horizontal="center" vertical="center" wrapText="1"/>
      <protection/>
    </xf>
    <xf numFmtId="166" fontId="60" fillId="0" borderId="0" xfId="77" applyNumberFormat="1" applyFont="1" applyAlignment="1">
      <alignment horizontal="center" vertical="center" wrapText="1"/>
      <protection/>
    </xf>
    <xf numFmtId="166" fontId="60" fillId="0" borderId="0" xfId="77" applyNumberFormat="1" applyFont="1" applyAlignment="1">
      <alignment horizontal="center" vertical="center"/>
      <protection/>
    </xf>
    <xf numFmtId="166" fontId="4" fillId="0" borderId="79" xfId="77" applyNumberFormat="1" applyFont="1" applyBorder="1" applyAlignment="1">
      <alignment horizontal="center" vertical="center" wrapText="1"/>
      <protection/>
    </xf>
    <xf numFmtId="166" fontId="4" fillId="0" borderId="80" xfId="77" applyNumberFormat="1" applyFont="1" applyBorder="1" applyAlignment="1">
      <alignment horizontal="center" vertical="center" wrapText="1"/>
      <protection/>
    </xf>
    <xf numFmtId="166" fontId="4" fillId="0" borderId="86" xfId="77" applyNumberFormat="1" applyFont="1" applyBorder="1" applyAlignment="1">
      <alignment horizontal="center" vertical="center" wrapText="1"/>
      <protection/>
    </xf>
    <xf numFmtId="0" fontId="59" fillId="0" borderId="122" xfId="77" applyFont="1" applyBorder="1" applyAlignment="1">
      <alignment horizontal="left" vertical="center" wrapText="1" indent="3"/>
      <protection/>
    </xf>
    <xf numFmtId="0" fontId="59" fillId="0" borderId="80" xfId="77" applyFont="1" applyBorder="1" applyAlignment="1">
      <alignment horizontal="left" vertical="center" wrapText="1" indent="3"/>
      <protection/>
    </xf>
    <xf numFmtId="0" fontId="59" fillId="0" borderId="86" xfId="77" applyFont="1" applyBorder="1" applyAlignment="1">
      <alignment horizontal="left" vertical="center" wrapText="1" indent="3"/>
      <protection/>
    </xf>
    <xf numFmtId="164" fontId="5" fillId="0" borderId="30" xfId="64" applyNumberFormat="1" applyFont="1" applyBorder="1" applyAlignment="1">
      <alignment horizontal="center" vertical="center" wrapText="1"/>
      <protection/>
    </xf>
    <xf numFmtId="164" fontId="5" fillId="0" borderId="16" xfId="64" applyNumberFormat="1" applyFont="1" applyBorder="1" applyAlignment="1">
      <alignment horizontal="center" vertical="center" wrapText="1"/>
      <protection/>
    </xf>
    <xf numFmtId="3" fontId="5" fillId="0" borderId="30" xfId="64" applyNumberFormat="1" applyFont="1" applyBorder="1" applyAlignment="1">
      <alignment horizontal="center" vertical="center" wrapText="1"/>
      <protection/>
    </xf>
    <xf numFmtId="3" fontId="5" fillId="0" borderId="16" xfId="64" applyNumberFormat="1" applyFont="1" applyBorder="1" applyAlignment="1">
      <alignment horizontal="center" vertical="center" wrapText="1"/>
      <protection/>
    </xf>
    <xf numFmtId="0" fontId="4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4" fillId="0" borderId="92" xfId="64" applyFont="1" applyBorder="1" applyAlignment="1">
      <alignment horizontal="center" vertical="center"/>
      <protection/>
    </xf>
    <xf numFmtId="0" fontId="4" fillId="0" borderId="74" xfId="64" applyFont="1" applyBorder="1" applyAlignment="1">
      <alignment vertical="center"/>
      <protection/>
    </xf>
    <xf numFmtId="0" fontId="4" fillId="0" borderId="75" xfId="64" applyFont="1" applyBorder="1" applyAlignment="1">
      <alignment vertical="center"/>
      <protection/>
    </xf>
    <xf numFmtId="169" fontId="4" fillId="0" borderId="32" xfId="64" applyNumberFormat="1" applyFont="1" applyFill="1" applyBorder="1" applyAlignment="1">
      <alignment horizontal="center" vertical="center"/>
      <protection/>
    </xf>
    <xf numFmtId="0" fontId="4" fillId="0" borderId="32" xfId="64" applyFont="1" applyBorder="1" applyAlignment="1">
      <alignment horizontal="center" vertical="center"/>
      <protection/>
    </xf>
    <xf numFmtId="3" fontId="4" fillId="0" borderId="32" xfId="64" applyNumberFormat="1" applyFont="1" applyBorder="1" applyAlignment="1">
      <alignment horizontal="center" vertical="center"/>
      <protection/>
    </xf>
    <xf numFmtId="0" fontId="4" fillId="0" borderId="32" xfId="64" applyFont="1" applyBorder="1" applyAlignment="1">
      <alignment vertical="center"/>
      <protection/>
    </xf>
    <xf numFmtId="3" fontId="4" fillId="0" borderId="71" xfId="64" applyNumberFormat="1" applyFont="1" applyBorder="1" applyAlignment="1">
      <alignment horizontal="center" vertical="center" wrapText="1"/>
      <protection/>
    </xf>
    <xf numFmtId="0" fontId="4" fillId="0" borderId="35" xfId="64" applyFont="1" applyBorder="1" applyAlignment="1">
      <alignment vertical="center" wrapText="1"/>
      <protection/>
    </xf>
    <xf numFmtId="0" fontId="23" fillId="0" borderId="72" xfId="64" applyFont="1" applyBorder="1" applyAlignment="1">
      <alignment vertical="center" wrapText="1"/>
      <protection/>
    </xf>
    <xf numFmtId="0" fontId="4" fillId="0" borderId="0" xfId="64" applyFont="1" applyAlignment="1">
      <alignment horizontal="center" vertical="center" wrapText="1"/>
      <protection/>
    </xf>
    <xf numFmtId="0" fontId="5" fillId="0" borderId="0" xfId="64" applyFont="1" applyAlignment="1">
      <alignment vertical="center" wrapText="1"/>
      <protection/>
    </xf>
    <xf numFmtId="0" fontId="4" fillId="0" borderId="92" xfId="64" applyFont="1" applyBorder="1" applyAlignment="1">
      <alignment horizontal="center" vertical="center" wrapText="1"/>
      <protection/>
    </xf>
    <xf numFmtId="0" fontId="4" fillId="0" borderId="74" xfId="64" applyFont="1" applyBorder="1" applyAlignment="1">
      <alignment vertical="center" wrapText="1"/>
      <protection/>
    </xf>
    <xf numFmtId="0" fontId="4" fillId="0" borderId="75" xfId="64" applyFont="1" applyBorder="1" applyAlignment="1">
      <alignment vertical="center" wrapText="1"/>
      <protection/>
    </xf>
    <xf numFmtId="169" fontId="4" fillId="0" borderId="32" xfId="64" applyNumberFormat="1" applyFont="1" applyFill="1" applyBorder="1" applyAlignment="1">
      <alignment horizontal="center" vertical="center" wrapText="1"/>
      <protection/>
    </xf>
    <xf numFmtId="0" fontId="4" fillId="0" borderId="32" xfId="64" applyFont="1" applyBorder="1" applyAlignment="1">
      <alignment horizontal="center" vertical="center" wrapText="1"/>
      <protection/>
    </xf>
    <xf numFmtId="3" fontId="4" fillId="0" borderId="32" xfId="64" applyNumberFormat="1" applyFont="1" applyBorder="1" applyAlignment="1">
      <alignment horizontal="center" vertical="center" wrapText="1"/>
      <protection/>
    </xf>
    <xf numFmtId="0" fontId="4" fillId="0" borderId="32" xfId="64" applyFont="1" applyBorder="1" applyAlignment="1">
      <alignment vertical="center" wrapText="1"/>
      <protection/>
    </xf>
    <xf numFmtId="0" fontId="29" fillId="0" borderId="72" xfId="64" applyFont="1" applyBorder="1" applyAlignment="1">
      <alignment vertical="center" wrapText="1"/>
      <protection/>
    </xf>
    <xf numFmtId="0" fontId="60" fillId="0" borderId="0" xfId="71" applyFont="1" applyAlignment="1">
      <alignment horizontal="center"/>
      <protection/>
    </xf>
    <xf numFmtId="0" fontId="30" fillId="0" borderId="0" xfId="71" applyAlignment="1">
      <alignment/>
      <protection/>
    </xf>
    <xf numFmtId="0" fontId="4" fillId="0" borderId="125" xfId="64" applyFont="1" applyBorder="1" applyAlignment="1">
      <alignment horizontal="center" vertical="center" wrapText="1"/>
      <protection/>
    </xf>
    <xf numFmtId="0" fontId="4" fillId="0" borderId="107" xfId="64" applyFont="1" applyBorder="1" applyAlignment="1">
      <alignment vertical="center" wrapText="1"/>
      <protection/>
    </xf>
    <xf numFmtId="0" fontId="4" fillId="0" borderId="112" xfId="64" applyFont="1" applyBorder="1" applyAlignment="1">
      <alignment vertical="center" wrapText="1"/>
      <protection/>
    </xf>
    <xf numFmtId="169" fontId="4" fillId="0" borderId="31" xfId="64" applyNumberFormat="1" applyFont="1" applyFill="1" applyBorder="1" applyAlignment="1">
      <alignment horizontal="center" vertical="center" wrapText="1"/>
      <protection/>
    </xf>
    <xf numFmtId="164" fontId="5" fillId="0" borderId="34" xfId="64" applyNumberFormat="1" applyFont="1" applyBorder="1" applyAlignment="1">
      <alignment horizontal="center" vertical="center" wrapText="1"/>
      <protection/>
    </xf>
    <xf numFmtId="164" fontId="5" fillId="0" borderId="36" xfId="64" applyNumberFormat="1" applyFont="1" applyBorder="1" applyAlignment="1">
      <alignment horizontal="center" vertical="center" wrapText="1"/>
      <protection/>
    </xf>
    <xf numFmtId="166" fontId="4" fillId="0" borderId="0" xfId="70" applyNumberFormat="1" applyFont="1" applyFill="1" applyAlignment="1">
      <alignment horizontal="center" vertical="center"/>
      <protection/>
    </xf>
    <xf numFmtId="165" fontId="4" fillId="0" borderId="0" xfId="70" applyNumberFormat="1" applyFont="1" applyFill="1" applyAlignment="1">
      <alignment horizontal="center" vertical="center"/>
      <protection/>
    </xf>
    <xf numFmtId="0" fontId="5" fillId="0" borderId="0" xfId="77" applyFont="1" applyAlignment="1">
      <alignment horizontal="left" vertical="center" wrapText="1"/>
      <protection/>
    </xf>
    <xf numFmtId="0" fontId="5" fillId="0" borderId="0" xfId="77" applyAlignment="1">
      <alignment horizontal="left" vertical="center"/>
      <protection/>
    </xf>
    <xf numFmtId="0" fontId="5" fillId="0" borderId="0" xfId="77" applyAlignment="1">
      <alignment horizontal="left"/>
      <protection/>
    </xf>
    <xf numFmtId="166" fontId="30" fillId="0" borderId="0" xfId="79" applyNumberFormat="1" applyFont="1" applyFill="1" applyAlignment="1">
      <alignment horizontal="right" vertical="center"/>
      <protection/>
    </xf>
    <xf numFmtId="166" fontId="6" fillId="0" borderId="0" xfId="79" applyNumberFormat="1" applyFont="1" applyAlignment="1">
      <alignment horizontal="center" vertical="center"/>
      <protection/>
    </xf>
    <xf numFmtId="0" fontId="6" fillId="0" borderId="126" xfId="79" applyFont="1" applyBorder="1" applyAlignment="1">
      <alignment horizontal="center" vertical="center"/>
      <protection/>
    </xf>
    <xf numFmtId="0" fontId="6" fillId="0" borderId="116" xfId="79" applyFont="1" applyBorder="1" applyAlignment="1">
      <alignment horizontal="center" vertical="center"/>
      <protection/>
    </xf>
    <xf numFmtId="0" fontId="6" fillId="0" borderId="115" xfId="79" applyFont="1" applyBorder="1" applyAlignment="1">
      <alignment horizontal="center" vertical="center"/>
      <protection/>
    </xf>
    <xf numFmtId="0" fontId="6" fillId="0" borderId="89" xfId="79" applyFont="1" applyBorder="1" applyAlignment="1">
      <alignment horizontal="center" vertical="center"/>
      <protection/>
    </xf>
    <xf numFmtId="3" fontId="6" fillId="0" borderId="126" xfId="79" applyNumberFormat="1" applyFont="1" applyFill="1" applyBorder="1" applyAlignment="1">
      <alignment horizontal="center" vertical="center"/>
      <protection/>
    </xf>
    <xf numFmtId="3" fontId="6" fillId="0" borderId="116" xfId="79" applyNumberFormat="1" applyFont="1" applyFill="1" applyBorder="1" applyAlignment="1">
      <alignment horizontal="center" vertical="center"/>
      <protection/>
    </xf>
    <xf numFmtId="3" fontId="6" fillId="0" borderId="119" xfId="79" applyNumberFormat="1" applyFont="1" applyFill="1" applyBorder="1" applyAlignment="1">
      <alignment horizontal="center" vertical="center"/>
      <protection/>
    </xf>
    <xf numFmtId="3" fontId="6" fillId="0" borderId="115" xfId="79" applyNumberFormat="1" applyFont="1" applyFill="1" applyBorder="1" applyAlignment="1">
      <alignment horizontal="center" vertical="center"/>
      <protection/>
    </xf>
    <xf numFmtId="3" fontId="6" fillId="0" borderId="89" xfId="79" applyNumberFormat="1" applyFont="1" applyFill="1" applyBorder="1" applyAlignment="1">
      <alignment horizontal="center" vertical="center"/>
      <protection/>
    </xf>
    <xf numFmtId="3" fontId="6" fillId="0" borderId="113" xfId="79" applyNumberFormat="1" applyFont="1" applyFill="1" applyBorder="1" applyAlignment="1">
      <alignment horizontal="center" vertical="center"/>
      <protection/>
    </xf>
    <xf numFmtId="0" fontId="6" fillId="0" borderId="18" xfId="79" applyFont="1" applyBorder="1" applyAlignment="1">
      <alignment horizontal="center" vertical="center"/>
      <protection/>
    </xf>
    <xf numFmtId="0" fontId="6" fillId="0" borderId="14" xfId="79" applyFont="1" applyBorder="1" applyAlignment="1">
      <alignment horizontal="center" vertical="center"/>
      <protection/>
    </xf>
    <xf numFmtId="166" fontId="30" fillId="0" borderId="0" xfId="79" applyNumberFormat="1" applyFont="1" applyAlignment="1">
      <alignment horizontal="justify" vertical="center"/>
      <protection/>
    </xf>
    <xf numFmtId="10" fontId="30" fillId="0" borderId="114" xfId="79" applyNumberFormat="1" applyFont="1" applyBorder="1" applyAlignment="1">
      <alignment horizontal="center" vertical="center"/>
      <protection/>
    </xf>
    <xf numFmtId="2" fontId="30" fillId="0" borderId="111" xfId="79" applyNumberFormat="1" applyFont="1" applyBorder="1" applyAlignment="1">
      <alignment horizontal="center" vertical="center"/>
      <protection/>
    </xf>
    <xf numFmtId="0" fontId="75" fillId="0" borderId="115" xfId="79" applyFont="1" applyBorder="1" applyAlignment="1">
      <alignment horizontal="center" vertical="center" wrapText="1"/>
      <protection/>
    </xf>
    <xf numFmtId="0" fontId="75" fillId="0" borderId="89" xfId="79" applyFont="1" applyBorder="1" applyAlignment="1">
      <alignment horizontal="center" vertical="center" wrapText="1"/>
      <protection/>
    </xf>
    <xf numFmtId="0" fontId="75" fillId="0" borderId="113" xfId="79" applyFont="1" applyBorder="1" applyAlignment="1">
      <alignment horizontal="center" vertical="center" wrapText="1"/>
      <protection/>
    </xf>
    <xf numFmtId="10" fontId="75" fillId="0" borderId="115" xfId="79" applyNumberFormat="1" applyFont="1" applyBorder="1" applyAlignment="1">
      <alignment horizontal="center" vertical="center" wrapText="1"/>
      <protection/>
    </xf>
    <xf numFmtId="10" fontId="75" fillId="0" borderId="89" xfId="79" applyNumberFormat="1" applyFont="1" applyBorder="1" applyAlignment="1">
      <alignment horizontal="center" vertical="center" wrapText="1"/>
      <protection/>
    </xf>
    <xf numFmtId="10" fontId="75" fillId="0" borderId="113" xfId="79" applyNumberFormat="1" applyFont="1" applyBorder="1" applyAlignment="1">
      <alignment horizontal="center" vertical="center" wrapText="1"/>
      <protection/>
    </xf>
    <xf numFmtId="0" fontId="30" fillId="0" borderId="0" xfId="79" applyFont="1" applyBorder="1" applyAlignment="1">
      <alignment horizontal="left" vertical="center"/>
      <protection/>
    </xf>
    <xf numFmtId="3" fontId="30" fillId="0" borderId="0" xfId="79" applyNumberFormat="1" applyFont="1" applyBorder="1" applyAlignment="1">
      <alignment horizontal="center" vertical="center"/>
      <protection/>
    </xf>
    <xf numFmtId="0" fontId="73" fillId="0" borderId="126" xfId="79" applyFont="1" applyBorder="1" applyAlignment="1">
      <alignment horizontal="left" vertical="center" wrapText="1"/>
      <protection/>
    </xf>
    <xf numFmtId="0" fontId="6" fillId="0" borderId="116" xfId="79" applyFont="1" applyBorder="1" applyAlignment="1">
      <alignment horizontal="left" vertical="center" wrapText="1"/>
      <protection/>
    </xf>
    <xf numFmtId="10" fontId="77" fillId="0" borderId="115" xfId="79" applyNumberFormat="1" applyFont="1" applyBorder="1" applyAlignment="1">
      <alignment horizontal="center" vertical="center" wrapText="1"/>
      <protection/>
    </xf>
    <xf numFmtId="10" fontId="77" fillId="0" borderId="89" xfId="79" applyNumberFormat="1" applyFont="1" applyBorder="1" applyAlignment="1">
      <alignment horizontal="center" vertical="center" wrapText="1"/>
      <protection/>
    </xf>
    <xf numFmtId="10" fontId="77" fillId="0" borderId="113" xfId="79" applyNumberFormat="1" applyFont="1" applyBorder="1" applyAlignment="1">
      <alignment horizontal="center" vertical="center" wrapText="1"/>
      <protection/>
    </xf>
  </cellXfs>
  <cellStyles count="7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2" xfId="57"/>
    <cellStyle name="Normál 3" xfId="58"/>
    <cellStyle name="Normál_1. sz. függelék" xfId="59"/>
    <cellStyle name="Normál_2002 januári KGy.mellékletek" xfId="60"/>
    <cellStyle name="Normál_2006. összahasonlítók intézményi (vegyes)" xfId="61"/>
    <cellStyle name="Normál_álláshelyek  alapító okirat szserint 2006.dec.5." xfId="62"/>
    <cellStyle name="Normál_Elemzések költségvetési biz. 01.28" xfId="63"/>
    <cellStyle name="Normál_Függelék I II III V és elemzések" xfId="64"/>
    <cellStyle name="Normál_Függelékek és egyéb táblák 02.06" xfId="65"/>
    <cellStyle name="Normál_helyi adó 1998 -2002" xfId="66"/>
    <cellStyle name="Normál_Intézm.műk.és szintrehozási szint" xfId="67"/>
    <cellStyle name="Normál_Intézményi jegyzőkönyvek 2006  január 2-6 (rendeletbe előkészítő)" xfId="68"/>
    <cellStyle name="Normál_Itiner 2006 költségvetés (version 1)" xfId="69"/>
    <cellStyle name="Normál_Költségvetési bizottság 01.28" xfId="70"/>
    <cellStyle name="Normál_Költségvetési rendelet mellékletek Niki" xfId="71"/>
    <cellStyle name="Normál_Kötött áll.hzj. int.bontás 2002" xfId="72"/>
    <cellStyle name="Normál_mérlegmutatók 2006." xfId="73"/>
    <cellStyle name="Normál_Módosítás 12.14" xfId="74"/>
    <cellStyle name="Normál_Nyerselemzés" xfId="75"/>
    <cellStyle name="Normál_összesítő intézményeknek Niki munkaanyag" xfId="76"/>
    <cellStyle name="Normál_Programköltségvetés 2005 végleges" xfId="77"/>
    <cellStyle name="Normál_Üres állás gyűjtó 2007" xfId="78"/>
    <cellStyle name="Normál_Végleges test.tábl." xfId="79"/>
    <cellStyle name="Összesen" xfId="80"/>
    <cellStyle name="Currency" xfId="81"/>
    <cellStyle name="Currency [0]" xfId="82"/>
    <cellStyle name="Rossz" xfId="83"/>
    <cellStyle name="Semleges" xfId="84"/>
    <cellStyle name="Számítás" xfId="85"/>
    <cellStyle name="Percent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Bevételek alakulása 1998-2007.                                                                                                          
 (millió Ft)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4925"/>
          <c:w val="0.8567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'2.Bevételek 98-tól'!$B$56</c:f>
              <c:strCache>
                <c:ptCount val="1"/>
                <c:pt idx="0">
                  <c:v>Saját bevételek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'2.Bevételek 98-tól'!$C$55:$L$55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'2.Bevételek 98-tól'!$C$56:$L$56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'2.Bevételek 98-tól'!$B$57</c:f>
              <c:strCache>
                <c:ptCount val="1"/>
                <c:pt idx="0">
                  <c:v>Államtól működésre kapott össz.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'2.Bevételek 98-tól'!$C$55:$L$55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'2.Bevételek 98-tól'!$C$57:$L$57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'2.Bevételek 98-tól'!$B$58</c:f>
              <c:strCache>
                <c:ptCount val="1"/>
                <c:pt idx="0">
                  <c:v>Államtól fejlesztésre kapott össz.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'2.Bevételek 98-tól'!$C$55:$L$55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'2.Bevételek 98-tól'!$C$58:$L$58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'2.Bevételek 98-tól'!$B$59</c:f>
              <c:strCache>
                <c:ptCount val="1"/>
                <c:pt idx="0">
                  <c:v>Egyéb fejlesztésre átvett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'2.Bevételek 98-tól'!$C$55:$L$55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'2.Bevételek 98-tól'!$C$59:$L$59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'2.Bevételek 98-tól'!$B$60</c:f>
              <c:strCache>
                <c:ptCount val="1"/>
                <c:pt idx="0">
                  <c:v>Hitel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'2.Bevételek 98-tól'!$C$55:$L$55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'2.Bevételek 98-tól'!$C$60:$L$60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'2.Bevételek 98-tól'!$B$61</c:f>
              <c:strCache>
                <c:ptCount val="1"/>
                <c:pt idx="0">
                  <c:v>Pénzügyi (technikai) elszámolás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'2.Bevételek 98-tól'!$C$55:$L$55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'2.Bevételek 98-tól'!$C$61:$L$61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5493049"/>
        <c:axId val="60622498"/>
      </c:barChart>
      <c:catAx>
        <c:axId val="55493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22498"/>
        <c:crosses val="autoZero"/>
        <c:auto val="1"/>
        <c:lblOffset val="100"/>
        <c:noMultiLvlLbl val="0"/>
      </c:catAx>
      <c:valAx>
        <c:axId val="60622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5493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"/>
          <c:y val="0.1795"/>
          <c:w val="0.13"/>
          <c:h val="0.60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Önkormányzat kiadásai szerkezete 1998-2006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'[1]Kiadások 98-tól'!$A$90</c:f>
              <c:strCache>
                <c:ptCount val="1"/>
                <c:pt idx="0">
                  <c:v>Bér és járulék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'[1]Kiadások 98-tól'!$B$89:$J$89</c:f>
              <c:str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 terv</c:v>
                </c:pt>
              </c:strCache>
            </c:strRef>
          </c:cat>
          <c:val>
            <c:numRef>
              <c:f>'[1]Kiadások 98-tól'!$B$90:$J$90</c:f>
              <c:numCache>
                <c:ptCount val="9"/>
                <c:pt idx="0">
                  <c:v>4208240</c:v>
                </c:pt>
                <c:pt idx="1">
                  <c:v>4777712</c:v>
                </c:pt>
                <c:pt idx="2">
                  <c:v>4983642</c:v>
                </c:pt>
                <c:pt idx="3">
                  <c:v>5827464</c:v>
                </c:pt>
                <c:pt idx="4">
                  <c:v>7209983</c:v>
                </c:pt>
                <c:pt idx="5">
                  <c:v>9062760</c:v>
                </c:pt>
                <c:pt idx="6">
                  <c:v>9221611</c:v>
                </c:pt>
                <c:pt idx="7">
                  <c:v>9993605</c:v>
                </c:pt>
                <c:pt idx="8">
                  <c:v>10181257</c:v>
                </c:pt>
              </c:numCache>
            </c:numRef>
          </c:val>
        </c:ser>
        <c:ser>
          <c:idx val="1"/>
          <c:order val="1"/>
          <c:tx>
            <c:strRef>
              <c:f>'[1]Kiadások 98-tól'!$A$91</c:f>
              <c:strCache>
                <c:ptCount val="1"/>
                <c:pt idx="0">
                  <c:v>Felhalmozási kiadás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'[1]Kiadások 98-tól'!$B$89:$J$89</c:f>
              <c:str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 terv</c:v>
                </c:pt>
              </c:strCache>
            </c:strRef>
          </c:cat>
          <c:val>
            <c:numRef>
              <c:f>'[1]Kiadások 98-tól'!$B$91:$J$91</c:f>
              <c:numCache>
                <c:ptCount val="9"/>
                <c:pt idx="0">
                  <c:v>2425962</c:v>
                </c:pt>
                <c:pt idx="1">
                  <c:v>1799580</c:v>
                </c:pt>
                <c:pt idx="2">
                  <c:v>2203550</c:v>
                </c:pt>
                <c:pt idx="3">
                  <c:v>5126577</c:v>
                </c:pt>
                <c:pt idx="4">
                  <c:v>3028663</c:v>
                </c:pt>
                <c:pt idx="5">
                  <c:v>1773290</c:v>
                </c:pt>
                <c:pt idx="6">
                  <c:v>2616472</c:v>
                </c:pt>
                <c:pt idx="7">
                  <c:v>4269455</c:v>
                </c:pt>
                <c:pt idx="8">
                  <c:v>6770434</c:v>
                </c:pt>
              </c:numCache>
            </c:numRef>
          </c:val>
        </c:ser>
        <c:ser>
          <c:idx val="2"/>
          <c:order val="2"/>
          <c:tx>
            <c:strRef>
              <c:f>'[1]Kiadások 98-tól'!$A$92</c:f>
              <c:strCache>
                <c:ptCount val="1"/>
                <c:pt idx="0">
                  <c:v>Működési kiadás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'[1]Kiadások 98-tól'!$B$89:$J$89</c:f>
              <c:str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 terv</c:v>
                </c:pt>
              </c:strCache>
            </c:strRef>
          </c:cat>
          <c:val>
            <c:numRef>
              <c:f>'[1]Kiadások 98-tól'!$B$92:$J$92</c:f>
              <c:numCache>
                <c:ptCount val="9"/>
                <c:pt idx="0">
                  <c:v>4913636</c:v>
                </c:pt>
                <c:pt idx="1">
                  <c:v>5505898</c:v>
                </c:pt>
                <c:pt idx="2">
                  <c:v>7060590</c:v>
                </c:pt>
                <c:pt idx="3">
                  <c:v>9610834</c:v>
                </c:pt>
                <c:pt idx="4">
                  <c:v>9359603</c:v>
                </c:pt>
                <c:pt idx="5">
                  <c:v>11662567</c:v>
                </c:pt>
                <c:pt idx="6">
                  <c:v>8149588</c:v>
                </c:pt>
                <c:pt idx="7">
                  <c:v>10909516</c:v>
                </c:pt>
                <c:pt idx="8">
                  <c:v>7081541</c:v>
                </c:pt>
              </c:numCache>
            </c:numRef>
          </c:val>
        </c:ser>
        <c:axId val="22270019"/>
        <c:axId val="40655548"/>
      </c:area3DChart>
      <c:catAx>
        <c:axId val="22270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655548"/>
        <c:crosses val="autoZero"/>
        <c:auto val="1"/>
        <c:lblOffset val="100"/>
        <c:noMultiLvlLbl val="0"/>
      </c:catAx>
      <c:valAx>
        <c:axId val="40655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7001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Személyi jellegű ráfordítás és az állami támogatás alakulása 2000-2006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'[1]Kiadások 98-tól'!$A$115</c:f>
              <c:strCache>
                <c:ptCount val="1"/>
                <c:pt idx="0">
                  <c:v>Önkormányzati bér és járulék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'[1]Kiadások 98-tól'!$B$114:$H$114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'[1]Kiadások 98-tól'!$B$115:$H$115</c:f>
              <c:numCache>
                <c:ptCount val="7"/>
                <c:pt idx="0">
                  <c:v>4984</c:v>
                </c:pt>
                <c:pt idx="1">
                  <c:v>5827</c:v>
                </c:pt>
                <c:pt idx="2">
                  <c:v>7210</c:v>
                </c:pt>
                <c:pt idx="3">
                  <c:v>9063</c:v>
                </c:pt>
                <c:pt idx="4">
                  <c:v>9222</c:v>
                </c:pt>
                <c:pt idx="5">
                  <c:v>9994</c:v>
                </c:pt>
                <c:pt idx="6">
                  <c:v>10181</c:v>
                </c:pt>
              </c:numCache>
            </c:numRef>
          </c:val>
        </c:ser>
        <c:ser>
          <c:idx val="1"/>
          <c:order val="1"/>
          <c:tx>
            <c:strRef>
              <c:f>'[1]Kiadások 98-tól'!$A$116</c:f>
              <c:strCache>
                <c:ptCount val="1"/>
                <c:pt idx="0">
                  <c:v>Államtól működésre kapott millió 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'[1]Kiadások 98-tól'!$B$114:$H$114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'[1]Kiadások 98-tól'!$B$116:$H$116</c:f>
              <c:numCache>
                <c:ptCount val="7"/>
                <c:pt idx="0">
                  <c:v>6161</c:v>
                </c:pt>
                <c:pt idx="1">
                  <c:v>6389</c:v>
                </c:pt>
                <c:pt idx="2">
                  <c:v>7769</c:v>
                </c:pt>
                <c:pt idx="3">
                  <c:v>9711</c:v>
                </c:pt>
                <c:pt idx="4">
                  <c:v>10442</c:v>
                </c:pt>
                <c:pt idx="5">
                  <c:v>11253</c:v>
                </c:pt>
                <c:pt idx="6">
                  <c:v>9719</c:v>
                </c:pt>
              </c:numCache>
            </c:numRef>
          </c:val>
        </c:ser>
        <c:axId val="56264733"/>
        <c:axId val="25152678"/>
      </c:barChart>
      <c:catAx>
        <c:axId val="5626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52678"/>
        <c:crosses val="autoZero"/>
        <c:auto val="1"/>
        <c:lblOffset val="100"/>
        <c:noMultiLvlLbl val="0"/>
      </c:catAx>
      <c:valAx>
        <c:axId val="25152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64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Intézményi személyi jellegű ráfordítás és az állami támogatások alakulása 2000-2006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'[1]Kiadások 98-tól'!$A$138</c:f>
              <c:strCache>
                <c:ptCount val="1"/>
                <c:pt idx="0">
                  <c:v>Intézményi bér és járulék millió Ft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'[1]Kiadások 98-tól'!$B$137:$H$137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'[1]Kiadások 98-tól'!$B$138:$H$138</c:f>
              <c:numCache>
                <c:ptCount val="7"/>
                <c:pt idx="0">
                  <c:v>4366</c:v>
                </c:pt>
                <c:pt idx="1">
                  <c:v>5007</c:v>
                </c:pt>
                <c:pt idx="2">
                  <c:v>6262</c:v>
                </c:pt>
                <c:pt idx="3">
                  <c:v>7940</c:v>
                </c:pt>
                <c:pt idx="4">
                  <c:v>8101</c:v>
                </c:pt>
                <c:pt idx="5">
                  <c:v>8702</c:v>
                </c:pt>
                <c:pt idx="6">
                  <c:v>8892</c:v>
                </c:pt>
              </c:numCache>
            </c:numRef>
          </c:val>
        </c:ser>
        <c:ser>
          <c:idx val="1"/>
          <c:order val="1"/>
          <c:tx>
            <c:strRef>
              <c:f>'[1]Kiadások 98-tól'!$A$139</c:f>
              <c:strCache>
                <c:ptCount val="1"/>
                <c:pt idx="0">
                  <c:v>Államtól működésre kapott millió 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'[1]Kiadások 98-tól'!$B$137:$H$137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'[1]Kiadások 98-tól'!$B$139:$H$139</c:f>
              <c:numCache>
                <c:ptCount val="7"/>
                <c:pt idx="0">
                  <c:v>6161</c:v>
                </c:pt>
                <c:pt idx="1">
                  <c:v>6389</c:v>
                </c:pt>
                <c:pt idx="2">
                  <c:v>7769</c:v>
                </c:pt>
                <c:pt idx="3">
                  <c:v>9711</c:v>
                </c:pt>
                <c:pt idx="4">
                  <c:v>10442</c:v>
                </c:pt>
                <c:pt idx="5">
                  <c:v>11253</c:v>
                </c:pt>
                <c:pt idx="6">
                  <c:v>9719</c:v>
                </c:pt>
              </c:numCache>
            </c:numRef>
          </c:val>
        </c:ser>
        <c:axId val="24626839"/>
        <c:axId val="3067440"/>
      </c:barChart>
      <c:catAx>
        <c:axId val="2462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7440"/>
        <c:crosses val="autoZero"/>
        <c:auto val="1"/>
        <c:lblOffset val="100"/>
        <c:noMultiLvlLbl val="0"/>
      </c:catAx>
      <c:valAx>
        <c:axId val="3067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26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Polgármesteri Hivatal kiadási összetétele 
2000 - 2007. években</a:t>
            </a:r>
          </a:p>
        </c:rich>
      </c:tx>
      <c:layout>
        <c:manualLayout>
          <c:xMode val="factor"/>
          <c:yMode val="factor"/>
          <c:x val="0.02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4125"/>
          <c:w val="0.8052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'3b PH kiad '!$A$223</c:f>
              <c:strCache>
                <c:ptCount val="1"/>
                <c:pt idx="0">
                  <c:v>Bér és járulék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'3b PH kiad '!$B$222:$J$222</c:f>
              <c:numCache/>
            </c:numRef>
          </c:cat>
          <c:val>
            <c:numRef>
              <c:f>'3b PH kiad '!$B$223:$J$223</c:f>
              <c:numCache/>
            </c:numRef>
          </c:val>
        </c:ser>
        <c:ser>
          <c:idx val="1"/>
          <c:order val="1"/>
          <c:tx>
            <c:strRef>
              <c:f>'3b PH kiad '!$A$224</c:f>
              <c:strCache>
                <c:ptCount val="1"/>
                <c:pt idx="0">
                  <c:v>Felhalmozási kiadás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'3b PH kiad '!$B$222:$J$222</c:f>
              <c:numCache/>
            </c:numRef>
          </c:cat>
          <c:val>
            <c:numRef>
              <c:f>'3b PH kiad '!$B$224:$J$224</c:f>
              <c:numCache/>
            </c:numRef>
          </c:val>
        </c:ser>
        <c:ser>
          <c:idx val="2"/>
          <c:order val="2"/>
          <c:tx>
            <c:strRef>
              <c:f>'3b PH kiad '!$A$225</c:f>
              <c:strCache>
                <c:ptCount val="1"/>
                <c:pt idx="0">
                  <c:v>Működési kiadás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'3b PH kiad '!$B$222:$J$222</c:f>
              <c:numCache/>
            </c:numRef>
          </c:cat>
          <c:val>
            <c:numRef>
              <c:f>'3b PH kiad '!$B$225:$J$225</c:f>
              <c:numCache/>
            </c:numRef>
          </c:val>
        </c:ser>
        <c:axId val="58656177"/>
        <c:axId val="56093018"/>
      </c:barChart>
      <c:catAx>
        <c:axId val="58656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6093018"/>
        <c:crosses val="autoZero"/>
        <c:auto val="1"/>
        <c:lblOffset val="100"/>
        <c:noMultiLvlLbl val="0"/>
      </c:catAx>
      <c:valAx>
        <c:axId val="5609301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6561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25"/>
          <c:y val="0.41875"/>
          <c:w val="0.17375"/>
          <c:h val="0.25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Ingatlan értékesítésből származó bevételek 1998-2007. években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65"/>
          <c:w val="0.804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'2aVagyonhaszn bevét 98-tól'!$Q$96</c:f>
              <c:strCache>
                <c:ptCount val="1"/>
                <c:pt idx="0">
                  <c:v>Telekértékesítés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98-tól'!$R$95:$AA$95</c:f>
              <c:strCache/>
            </c:strRef>
          </c:cat>
          <c:val>
            <c:numRef>
              <c:f>'2aVagyonhaszn bevét 98-tól'!$R$96:$AA$96</c:f>
              <c:numCache/>
            </c:numRef>
          </c:val>
        </c:ser>
        <c:ser>
          <c:idx val="1"/>
          <c:order val="1"/>
          <c:tx>
            <c:strRef>
              <c:f>'2aVagyonhaszn bevét 98-tól'!$Q$97</c:f>
              <c:strCache>
                <c:ptCount val="1"/>
                <c:pt idx="0">
                  <c:v>Helyiségértékesítés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98-tól'!$R$95:$AA$95</c:f>
              <c:strCache/>
            </c:strRef>
          </c:cat>
          <c:val>
            <c:numRef>
              <c:f>'2aVagyonhaszn bevét 98-tól'!$R$97:$AA$97</c:f>
              <c:numCache/>
            </c:numRef>
          </c:val>
        </c:ser>
        <c:ser>
          <c:idx val="2"/>
          <c:order val="2"/>
          <c:tx>
            <c:strRef>
              <c:f>'2aVagyonhaszn bevét 98-tól'!$Q$98</c:f>
              <c:strCache>
                <c:ptCount val="1"/>
                <c:pt idx="0">
                  <c:v>Lakás, egyéb vagyon eladás</c:v>
                </c:pt>
              </c:strCache>
            </c:strRef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98-tól'!$R$95:$AA$95</c:f>
              <c:strCache/>
            </c:strRef>
          </c:cat>
          <c:val>
            <c:numRef>
              <c:f>'2aVagyonhaszn bevét 98-tól'!$R$98:$AA$98</c:f>
              <c:numCache/>
            </c:numRef>
          </c:val>
        </c:ser>
        <c:axId val="2494451"/>
        <c:axId val="35163628"/>
      </c:barChart>
      <c:catAx>
        <c:axId val="249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163628"/>
        <c:crosses val="autoZero"/>
        <c:auto val="1"/>
        <c:lblOffset val="100"/>
        <c:noMultiLvlLbl val="0"/>
      </c:catAx>
      <c:valAx>
        <c:axId val="3516362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94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75"/>
          <c:y val="0.33525"/>
          <c:w val="0.16425"/>
          <c:h val="0.39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Egyéb vagyonhasznosítási bevételek 1998-2007. években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9125"/>
          <c:w val="0.713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'2aVagyonhaszn bevét 98-tól'!$Q$102</c:f>
              <c:strCache>
                <c:ptCount val="1"/>
                <c:pt idx="0">
                  <c:v>Üzletrész és értékpapír értékesítés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98-tól'!$R$101:$AA$101</c:f>
              <c:strCache/>
            </c:strRef>
          </c:cat>
          <c:val>
            <c:numRef>
              <c:f>'2aVagyonhaszn bevét 98-tól'!$R$102:$AA$102</c:f>
              <c:numCache/>
            </c:numRef>
          </c:val>
        </c:ser>
        <c:ser>
          <c:idx val="1"/>
          <c:order val="1"/>
          <c:tx>
            <c:strRef>
              <c:f>'2aVagyonhaszn bevét 98-tól'!$Q$103</c:f>
              <c:strCache>
                <c:ptCount val="1"/>
                <c:pt idx="0">
                  <c:v>Helyiségbérleti díjak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98-tól'!$R$101:$AA$101</c:f>
              <c:strCache/>
            </c:strRef>
          </c:cat>
          <c:val>
            <c:numRef>
              <c:f>'2aVagyonhaszn bevét 98-tól'!$R$103:$AA$103</c:f>
              <c:numCache/>
            </c:numRef>
          </c:val>
        </c:ser>
        <c:ser>
          <c:idx val="2"/>
          <c:order val="2"/>
          <c:tx>
            <c:strRef>
              <c:f>'2aVagyonhaszn bevét 98-tól'!$Q$104</c:f>
              <c:strCache>
                <c:ptCount val="1"/>
                <c:pt idx="0">
                  <c:v>Osztalék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98-tól'!$R$101:$AA$101</c:f>
              <c:strCache/>
            </c:strRef>
          </c:cat>
          <c:val>
            <c:numRef>
              <c:f>'2aVagyonhaszn bevét 98-tól'!$R$104:$AA$104</c:f>
              <c:numCache/>
            </c:numRef>
          </c:val>
        </c:ser>
        <c:ser>
          <c:idx val="3"/>
          <c:order val="3"/>
          <c:tx>
            <c:strRef>
              <c:f>'2aVagyonhaszn bevét 98-tól'!$Q$105</c:f>
              <c:strCache>
                <c:ptCount val="1"/>
                <c:pt idx="0">
                  <c:v>Koncessziós díj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98-tól'!$R$101:$AA$101</c:f>
              <c:strCache/>
            </c:strRef>
          </c:cat>
          <c:val>
            <c:numRef>
              <c:f>'2aVagyonhaszn bevét 98-tól'!$R$105:$AA$105</c:f>
              <c:numCache/>
            </c:numRef>
          </c:val>
        </c:ser>
        <c:axId val="32422605"/>
        <c:axId val="54258390"/>
      </c:barChart>
      <c:catAx>
        <c:axId val="32422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58390"/>
        <c:crosses val="autoZero"/>
        <c:auto val="1"/>
        <c:lblOffset val="100"/>
        <c:noMultiLvlLbl val="0"/>
      </c:catAx>
      <c:valAx>
        <c:axId val="542583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422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75"/>
          <c:y val="0.262"/>
          <c:w val="0.23875"/>
          <c:h val="0.54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Vagyonhasznosítási bevételek 1998-2007.                                                                                          
(ezer Ft)</a:t>
            </a:r>
          </a:p>
        </c:rich>
      </c:tx>
      <c:layout>
        <c:manualLayout>
          <c:xMode val="factor"/>
          <c:yMode val="factor"/>
          <c:x val="0.02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2"/>
          <c:w val="0.8302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'2aVagyonhaszn bevét 98-tól'!$Q$90</c:f>
              <c:strCache>
                <c:ptCount val="1"/>
                <c:pt idx="0">
                  <c:v>Ingatlan értékesítés összesen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98-tól'!$R$89:$AA$89</c:f>
              <c:strCache/>
            </c:strRef>
          </c:cat>
          <c:val>
            <c:numRef>
              <c:f>'2aVagyonhaszn bevét 98-tól'!$R$90:$AA$90</c:f>
              <c:numCache/>
            </c:numRef>
          </c:val>
        </c:ser>
        <c:ser>
          <c:idx val="1"/>
          <c:order val="1"/>
          <c:tx>
            <c:strRef>
              <c:f>'2aVagyonhaszn bevét 98-tól'!$Q$91</c:f>
              <c:strCache>
                <c:ptCount val="1"/>
                <c:pt idx="0">
                  <c:v>Üzletrész és értékpapír értékesítés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98-tól'!$R$89:$AA$89</c:f>
              <c:strCache/>
            </c:strRef>
          </c:cat>
          <c:val>
            <c:numRef>
              <c:f>'2aVagyonhaszn bevét 98-tól'!$R$91:$AA$91</c:f>
              <c:numCache/>
            </c:numRef>
          </c:val>
        </c:ser>
        <c:ser>
          <c:idx val="2"/>
          <c:order val="2"/>
          <c:tx>
            <c:strRef>
              <c:f>'2aVagyonhaszn bevét 98-tól'!$Q$92</c:f>
              <c:strCache>
                <c:ptCount val="1"/>
                <c:pt idx="0">
                  <c:v>Egyéb vagyonhasznosítási bevétel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98-tól'!$R$89:$AA$89</c:f>
              <c:strCache/>
            </c:strRef>
          </c:cat>
          <c:val>
            <c:numRef>
              <c:f>'2aVagyonhaszn bevét 98-tól'!$R$92:$AA$92</c:f>
              <c:numCache/>
            </c:numRef>
          </c:val>
        </c:ser>
        <c:axId val="10001479"/>
        <c:axId val="7407456"/>
      </c:barChart>
      <c:catAx>
        <c:axId val="1000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7407456"/>
        <c:crosses val="autoZero"/>
        <c:auto val="1"/>
        <c:lblOffset val="100"/>
        <c:noMultiLvlLbl val="0"/>
      </c:catAx>
      <c:valAx>
        <c:axId val="740745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0001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25"/>
          <c:y val="0.2385"/>
          <c:w val="0.14675"/>
          <c:h val="0.5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Helyi adóbevételek alakulása 1998-2007. években                                              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025"/>
          <c:w val="0.818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'2b helyi adók'!$B$52:$F$52</c:f>
              <c:strCache>
                <c:ptCount val="1"/>
                <c:pt idx="0">
                  <c:v>iparűzési adóból befolyt összeg (mFt 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'2b helyi adók'!$G$51:$Q$51</c:f>
              <c:strCache/>
            </c:strRef>
          </c:cat>
          <c:val>
            <c:numRef>
              <c:f>'2b helyi adók'!$G$52:$Q$52</c:f>
              <c:numCache/>
            </c:numRef>
          </c:val>
        </c:ser>
        <c:ser>
          <c:idx val="1"/>
          <c:order val="1"/>
          <c:tx>
            <c:strRef>
              <c:f>'2b helyi adók'!$B$53:$F$53</c:f>
              <c:strCache>
                <c:ptCount val="1"/>
                <c:pt idx="0">
                  <c:v>építmény adóból befolyt összeg (mFt 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'2b helyi adók'!$G$51:$Q$51</c:f>
              <c:strCache/>
            </c:strRef>
          </c:cat>
          <c:val>
            <c:numRef>
              <c:f>'2b helyi adók'!$G$53:$Q$53</c:f>
              <c:numCache/>
            </c:numRef>
          </c:val>
        </c:ser>
        <c:axId val="35270241"/>
        <c:axId val="36793738"/>
      </c:barChart>
      <c:catAx>
        <c:axId val="3527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6793738"/>
        <c:crosses val="autoZero"/>
        <c:auto val="1"/>
        <c:lblOffset val="100"/>
        <c:noMultiLvlLbl val="0"/>
      </c:catAx>
      <c:valAx>
        <c:axId val="367937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50" b="0" i="0" u="none" baseline="0"/>
            </a:pPr>
          </a:p>
        </c:txPr>
        <c:crossAx val="35270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5"/>
          <c:y val="0.38225"/>
          <c:w val="0.1335"/>
          <c:h val="0.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Önkormányzat kiadásainak szerkezete 2000-2007.                                                                                                                                          (ezer Ft)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75"/>
          <c:w val="0.8497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'3és 3a Kiadások 98-tól'!$N$216</c:f>
              <c:strCache>
                <c:ptCount val="1"/>
                <c:pt idx="0">
                  <c:v>Bér és járulék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'3és 3a Kiadások 98-tól'!$O$215:$X$215</c:f>
              <c:numCache/>
            </c:numRef>
          </c:cat>
          <c:val>
            <c:numRef>
              <c:f>'3és 3a Kiadások 98-tól'!$O$216:$X$216</c:f>
              <c:numCache/>
            </c:numRef>
          </c:val>
        </c:ser>
        <c:ser>
          <c:idx val="1"/>
          <c:order val="1"/>
          <c:tx>
            <c:strRef>
              <c:f>'3és 3a Kiadások 98-tól'!$N$217</c:f>
              <c:strCache>
                <c:ptCount val="1"/>
                <c:pt idx="0">
                  <c:v>Felhalmozási kiadás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'3és 3a Kiadások 98-tól'!$O$215:$X$215</c:f>
              <c:numCache/>
            </c:numRef>
          </c:cat>
          <c:val>
            <c:numRef>
              <c:f>'3és 3a Kiadások 98-tól'!$O$217:$X$217</c:f>
              <c:numCache/>
            </c:numRef>
          </c:val>
        </c:ser>
        <c:ser>
          <c:idx val="2"/>
          <c:order val="2"/>
          <c:tx>
            <c:strRef>
              <c:f>'3és 3a Kiadások 98-tól'!$N$218</c:f>
              <c:strCache>
                <c:ptCount val="1"/>
                <c:pt idx="0">
                  <c:v>Működési kiadás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'3és 3a Kiadások 98-tól'!$O$215:$X$215</c:f>
              <c:numCache/>
            </c:numRef>
          </c:cat>
          <c:val>
            <c:numRef>
              <c:f>'3és 3a Kiadások 98-tól'!$O$218:$X$218</c:f>
              <c:numCache/>
            </c:numRef>
          </c:val>
        </c:ser>
        <c:axId val="32148251"/>
        <c:axId val="43009876"/>
      </c:barChart>
      <c:catAx>
        <c:axId val="32148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009876"/>
        <c:crosses val="autoZero"/>
        <c:auto val="1"/>
        <c:lblOffset val="100"/>
        <c:noMultiLvlLbl val="0"/>
      </c:catAx>
      <c:valAx>
        <c:axId val="4300987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148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8175"/>
          <c:y val="0.38675"/>
          <c:w val="0.10775"/>
          <c:h val="0.2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Személyi jellegű ráfordítás és az állami támogatás alakulása          
 2000-2007.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525"/>
          <c:w val="0.795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'3és 3a Kiadások 98-tól'!$O$241</c:f>
              <c:strCache>
                <c:ptCount val="1"/>
                <c:pt idx="0">
                  <c:v>Önkormányzati bér és járulék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'3és 3a Kiadások 98-tól'!$R$240:$Y$240</c:f>
              <c:numCache/>
            </c:numRef>
          </c:cat>
          <c:val>
            <c:numRef>
              <c:f>'3és 3a Kiadások 98-tól'!$R$241:$Y$241</c:f>
              <c:numCache/>
            </c:numRef>
          </c:val>
        </c:ser>
        <c:ser>
          <c:idx val="1"/>
          <c:order val="1"/>
          <c:tx>
            <c:strRef>
              <c:f>'3és 3a Kiadások 98-tól'!$O$242</c:f>
              <c:strCache>
                <c:ptCount val="1"/>
                <c:pt idx="0">
                  <c:v>Államtól működésre kapott (millió Ft)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'3és 3a Kiadások 98-tól'!$R$240:$Y$240</c:f>
              <c:numCache/>
            </c:numRef>
          </c:cat>
          <c:val>
            <c:numRef>
              <c:f>'3és 3a Kiadások 98-tól'!$R$242:$Y$242</c:f>
              <c:numCache/>
            </c:numRef>
          </c:val>
        </c:ser>
        <c:axId val="18574453"/>
        <c:axId val="23355070"/>
      </c:barChart>
      <c:catAx>
        <c:axId val="18574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3355070"/>
        <c:crosses val="autoZero"/>
        <c:auto val="1"/>
        <c:lblOffset val="100"/>
        <c:noMultiLvlLbl val="0"/>
      </c:catAx>
      <c:valAx>
        <c:axId val="2335507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18574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"/>
          <c:y val="0.445"/>
          <c:w val="0.162"/>
          <c:h val="0.2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Intézményi személyi jellegű ráfordítás és az állami támogatások alakulása 2000-2007.
</a:t>
            </a:r>
          </a:p>
        </c:rich>
      </c:tx>
      <c:layout>
        <c:manualLayout>
          <c:xMode val="factor"/>
          <c:yMode val="factor"/>
          <c:x val="0.00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9"/>
          <c:w val="0.83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'3és 3a Kiadások 98-tól'!$O$249</c:f>
              <c:strCache>
                <c:ptCount val="1"/>
                <c:pt idx="0">
                  <c:v>Intézményi bér és járulék millió Ft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'3és 3a Kiadások 98-tól'!$R$248:$Y$248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'3és 3a Kiadások 98-tól'!$R$249:$Y$249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'3és 3a Kiadások 98-tól'!$O$250</c:f>
              <c:strCache>
                <c:ptCount val="1"/>
                <c:pt idx="0">
                  <c:v>Államtól működésre kapott millió 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'3és 3a Kiadások 98-tól'!$R$248:$Y$248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'3és 3a Kiadások 98-tól'!$R$250:$Y$250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033775"/>
        <c:axId val="1187272"/>
      </c:barChart>
      <c:catAx>
        <c:axId val="18033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187272"/>
        <c:crosses val="autoZero"/>
        <c:auto val="1"/>
        <c:lblOffset val="100"/>
        <c:noMultiLvlLbl val="0"/>
      </c:catAx>
      <c:valAx>
        <c:axId val="118727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8033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406"/>
          <c:w val="0.1475"/>
          <c:h val="0.2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Önkormányzat intézményi kiadásainak szerkezete 2000-2007.  
(ezer Ft)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2"/>
          <c:w val="0.777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'3és 3a Kiadások 98-tól'!$N$229:$P$229</c:f>
              <c:strCache>
                <c:ptCount val="1"/>
                <c:pt idx="0">
                  <c:v>Intézményi bér és járulék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'3és 3a Kiadások 98-tól'!$Q$228:$X$228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'3és 3a Kiadások 98-tól'!$Q$229:$X$229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'3és 3a Kiadások 98-tól'!$N$230:$P$230</c:f>
              <c:strCache>
                <c:ptCount val="1"/>
                <c:pt idx="0">
                  <c:v>Intézményi felhalmozási kiadás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'3és 3a Kiadások 98-tól'!$Q$228:$X$228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'3és 3a Kiadások 98-tól'!$Q$230:$X$230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'3és 3a Kiadások 98-tól'!$N$231:$P$231</c:f>
              <c:strCache>
                <c:ptCount val="1"/>
                <c:pt idx="0">
                  <c:v>Intézményi működési kiadás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'3és 3a Kiadások 98-tól'!$Q$228:$X$228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'3és 3a Kiadások 98-tól'!$Q$231:$X$231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678153"/>
        <c:axId val="49647218"/>
      </c:barChart>
      <c:catAx>
        <c:axId val="48678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647218"/>
        <c:crosses val="autoZero"/>
        <c:auto val="1"/>
        <c:lblOffset val="100"/>
        <c:noMultiLvlLbl val="0"/>
      </c:catAx>
      <c:valAx>
        <c:axId val="4964721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67815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45525"/>
          <c:w val="0.18025"/>
          <c:h val="0.3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30</xdr:row>
      <xdr:rowOff>9525</xdr:rowOff>
    </xdr:from>
    <xdr:to>
      <xdr:col>11</xdr:col>
      <xdr:colOff>657225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552450" y="5800725"/>
        <a:ext cx="85058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63</xdr:row>
      <xdr:rowOff>28575</xdr:rowOff>
    </xdr:from>
    <xdr:to>
      <xdr:col>6</xdr:col>
      <xdr:colOff>114300</xdr:colOff>
      <xdr:row>83</xdr:row>
      <xdr:rowOff>57150</xdr:rowOff>
    </xdr:to>
    <xdr:graphicFrame>
      <xdr:nvGraphicFramePr>
        <xdr:cNvPr id="1" name="Chart 1"/>
        <xdr:cNvGraphicFramePr/>
      </xdr:nvGraphicFramePr>
      <xdr:xfrm>
        <a:off x="95250" y="11420475"/>
        <a:ext cx="60579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63</xdr:row>
      <xdr:rowOff>19050</xdr:rowOff>
    </xdr:from>
    <xdr:to>
      <xdr:col>12</xdr:col>
      <xdr:colOff>809625</xdr:colOff>
      <xdr:row>83</xdr:row>
      <xdr:rowOff>28575</xdr:rowOff>
    </xdr:to>
    <xdr:graphicFrame>
      <xdr:nvGraphicFramePr>
        <xdr:cNvPr id="2" name="Chart 2"/>
        <xdr:cNvGraphicFramePr/>
      </xdr:nvGraphicFramePr>
      <xdr:xfrm>
        <a:off x="6124575" y="11410950"/>
        <a:ext cx="51530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1352550</xdr:colOff>
      <xdr:row>39</xdr:row>
      <xdr:rowOff>38100</xdr:rowOff>
    </xdr:from>
    <xdr:to>
      <xdr:col>10</xdr:col>
      <xdr:colOff>485775</xdr:colOff>
      <xdr:row>58</xdr:row>
      <xdr:rowOff>123825</xdr:rowOff>
    </xdr:to>
    <xdr:graphicFrame>
      <xdr:nvGraphicFramePr>
        <xdr:cNvPr id="3" name="Chart 3"/>
        <xdr:cNvGraphicFramePr/>
      </xdr:nvGraphicFramePr>
      <xdr:xfrm>
        <a:off x="1962150" y="7543800"/>
        <a:ext cx="80676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21</xdr:row>
      <xdr:rowOff>104775</xdr:rowOff>
    </xdr:from>
    <xdr:to>
      <xdr:col>15</xdr:col>
      <xdr:colOff>0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1343025" y="4819650"/>
        <a:ext cx="84296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23</xdr:row>
      <xdr:rowOff>180975</xdr:rowOff>
    </xdr:from>
    <xdr:to>
      <xdr:col>10</xdr:col>
      <xdr:colOff>190500</xdr:colOff>
      <xdr:row>40</xdr:row>
      <xdr:rowOff>0</xdr:rowOff>
    </xdr:to>
    <xdr:graphicFrame>
      <xdr:nvGraphicFramePr>
        <xdr:cNvPr id="1" name="Chart 10"/>
        <xdr:cNvGraphicFramePr/>
      </xdr:nvGraphicFramePr>
      <xdr:xfrm>
        <a:off x="838200" y="5124450"/>
        <a:ext cx="9144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657225</xdr:colOff>
      <xdr:row>57</xdr:row>
      <xdr:rowOff>142875</xdr:rowOff>
    </xdr:from>
    <xdr:to>
      <xdr:col>10</xdr:col>
      <xdr:colOff>57150</xdr:colOff>
      <xdr:row>85</xdr:row>
      <xdr:rowOff>0</xdr:rowOff>
    </xdr:to>
    <xdr:graphicFrame>
      <xdr:nvGraphicFramePr>
        <xdr:cNvPr id="2" name="Chart 13"/>
        <xdr:cNvGraphicFramePr/>
      </xdr:nvGraphicFramePr>
      <xdr:xfrm>
        <a:off x="657225" y="12992100"/>
        <a:ext cx="91916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990600</xdr:colOff>
      <xdr:row>167</xdr:row>
      <xdr:rowOff>9525</xdr:rowOff>
    </xdr:from>
    <xdr:to>
      <xdr:col>10</xdr:col>
      <xdr:colOff>247650</xdr:colOff>
      <xdr:row>194</xdr:row>
      <xdr:rowOff>28575</xdr:rowOff>
    </xdr:to>
    <xdr:graphicFrame>
      <xdr:nvGraphicFramePr>
        <xdr:cNvPr id="3" name="Chart 14"/>
        <xdr:cNvGraphicFramePr/>
      </xdr:nvGraphicFramePr>
      <xdr:xfrm>
        <a:off x="990600" y="31765875"/>
        <a:ext cx="9048750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914400</xdr:colOff>
      <xdr:row>128</xdr:row>
      <xdr:rowOff>95250</xdr:rowOff>
    </xdr:from>
    <xdr:to>
      <xdr:col>10</xdr:col>
      <xdr:colOff>266700</xdr:colOff>
      <xdr:row>151</xdr:row>
      <xdr:rowOff>57150</xdr:rowOff>
    </xdr:to>
    <xdr:graphicFrame>
      <xdr:nvGraphicFramePr>
        <xdr:cNvPr id="4" name="Chart 15"/>
        <xdr:cNvGraphicFramePr/>
      </xdr:nvGraphicFramePr>
      <xdr:xfrm>
        <a:off x="914400" y="24698325"/>
        <a:ext cx="914400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103</xdr:row>
      <xdr:rowOff>142875</xdr:rowOff>
    </xdr:from>
    <xdr:to>
      <xdr:col>6</xdr:col>
      <xdr:colOff>142875</xdr:colOff>
      <xdr:row>121</xdr:row>
      <xdr:rowOff>142875</xdr:rowOff>
    </xdr:to>
    <xdr:graphicFrame>
      <xdr:nvGraphicFramePr>
        <xdr:cNvPr id="1" name="Chart 1"/>
        <xdr:cNvGraphicFramePr/>
      </xdr:nvGraphicFramePr>
      <xdr:xfrm>
        <a:off x="952500" y="3000375"/>
        <a:ext cx="5162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1238250</xdr:colOff>
      <xdr:row>126</xdr:row>
      <xdr:rowOff>114300</xdr:rowOff>
    </xdr:from>
    <xdr:to>
      <xdr:col>6</xdr:col>
      <xdr:colOff>266700</xdr:colOff>
      <xdr:row>144</xdr:row>
      <xdr:rowOff>0</xdr:rowOff>
    </xdr:to>
    <xdr:graphicFrame>
      <xdr:nvGraphicFramePr>
        <xdr:cNvPr id="2" name="Chart 2"/>
        <xdr:cNvGraphicFramePr/>
      </xdr:nvGraphicFramePr>
      <xdr:xfrm>
        <a:off x="1238250" y="3000375"/>
        <a:ext cx="5000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1228725</xdr:colOff>
      <xdr:row>150</xdr:row>
      <xdr:rowOff>0</xdr:rowOff>
    </xdr:from>
    <xdr:to>
      <xdr:col>6</xdr:col>
      <xdr:colOff>409575</xdr:colOff>
      <xdr:row>168</xdr:row>
      <xdr:rowOff>38100</xdr:rowOff>
    </xdr:to>
    <xdr:graphicFrame>
      <xdr:nvGraphicFramePr>
        <xdr:cNvPr id="3" name="Chart 3"/>
        <xdr:cNvGraphicFramePr/>
      </xdr:nvGraphicFramePr>
      <xdr:xfrm>
        <a:off x="1228725" y="3000375"/>
        <a:ext cx="515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704850</xdr:colOff>
      <xdr:row>187</xdr:row>
      <xdr:rowOff>19050</xdr:rowOff>
    </xdr:from>
    <xdr:to>
      <xdr:col>7</xdr:col>
      <xdr:colOff>828675</xdr:colOff>
      <xdr:row>210</xdr:row>
      <xdr:rowOff>19050</xdr:rowOff>
    </xdr:to>
    <xdr:graphicFrame>
      <xdr:nvGraphicFramePr>
        <xdr:cNvPr id="4" name="Chart 4"/>
        <xdr:cNvGraphicFramePr/>
      </xdr:nvGraphicFramePr>
      <xdr:xfrm>
        <a:off x="704850" y="3343275"/>
        <a:ext cx="693420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61</xdr:row>
      <xdr:rowOff>171450</xdr:rowOff>
    </xdr:from>
    <xdr:to>
      <xdr:col>12</xdr:col>
      <xdr:colOff>419100</xdr:colOff>
      <xdr:row>64</xdr:row>
      <xdr:rowOff>190500</xdr:rowOff>
    </xdr:to>
    <xdr:sp>
      <xdr:nvSpPr>
        <xdr:cNvPr id="1" name="AutoShape 1"/>
        <xdr:cNvSpPr>
          <a:spLocks/>
        </xdr:cNvSpPr>
      </xdr:nvSpPr>
      <xdr:spPr>
        <a:xfrm rot="10800000">
          <a:off x="9858375" y="13287375"/>
          <a:ext cx="247650" cy="619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77</xdr:row>
      <xdr:rowOff>76200</xdr:rowOff>
    </xdr:from>
    <xdr:to>
      <xdr:col>12</xdr:col>
      <xdr:colOff>428625</xdr:colOff>
      <xdr:row>80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9867900" y="16392525"/>
          <a:ext cx="247650" cy="5524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57</xdr:row>
      <xdr:rowOff>47625</xdr:rowOff>
    </xdr:from>
    <xdr:to>
      <xdr:col>12</xdr:col>
      <xdr:colOff>504825</xdr:colOff>
      <xdr:row>59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9944100" y="12363450"/>
          <a:ext cx="247650" cy="5334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20</xdr:row>
      <xdr:rowOff>66675</xdr:rowOff>
    </xdr:from>
    <xdr:to>
      <xdr:col>12</xdr:col>
      <xdr:colOff>514350</xdr:colOff>
      <xdr:row>23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9944100" y="4981575"/>
          <a:ext cx="257175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47</xdr:row>
      <xdr:rowOff>200025</xdr:rowOff>
    </xdr:from>
    <xdr:to>
      <xdr:col>12</xdr:col>
      <xdr:colOff>485775</xdr:colOff>
      <xdr:row>50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9925050" y="10515600"/>
          <a:ext cx="247650" cy="4953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72</xdr:row>
      <xdr:rowOff>85725</xdr:rowOff>
    </xdr:from>
    <xdr:to>
      <xdr:col>12</xdr:col>
      <xdr:colOff>523875</xdr:colOff>
      <xdr:row>75</xdr:row>
      <xdr:rowOff>85725</xdr:rowOff>
    </xdr:to>
    <xdr:sp>
      <xdr:nvSpPr>
        <xdr:cNvPr id="6" name="AutoShape 6"/>
        <xdr:cNvSpPr>
          <a:spLocks/>
        </xdr:cNvSpPr>
      </xdr:nvSpPr>
      <xdr:spPr>
        <a:xfrm rot="10800000">
          <a:off x="9963150" y="15401925"/>
          <a:ext cx="247650" cy="600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15</xdr:row>
      <xdr:rowOff>47625</xdr:rowOff>
    </xdr:from>
    <xdr:to>
      <xdr:col>12</xdr:col>
      <xdr:colOff>514350</xdr:colOff>
      <xdr:row>17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9944100" y="3962400"/>
          <a:ext cx="257175" cy="5238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10</xdr:row>
      <xdr:rowOff>47625</xdr:rowOff>
    </xdr:from>
    <xdr:to>
      <xdr:col>12</xdr:col>
      <xdr:colOff>514350</xdr:colOff>
      <xdr:row>13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9944100" y="2962275"/>
          <a:ext cx="257175" cy="6667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36</xdr:row>
      <xdr:rowOff>19050</xdr:rowOff>
    </xdr:from>
    <xdr:to>
      <xdr:col>12</xdr:col>
      <xdr:colOff>495300</xdr:colOff>
      <xdr:row>38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9925050" y="8134350"/>
          <a:ext cx="257175" cy="504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40</xdr:row>
      <xdr:rowOff>57150</xdr:rowOff>
    </xdr:from>
    <xdr:to>
      <xdr:col>12</xdr:col>
      <xdr:colOff>523875</xdr:colOff>
      <xdr:row>42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9963150" y="8972550"/>
          <a:ext cx="2476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44</xdr:row>
      <xdr:rowOff>19050</xdr:rowOff>
    </xdr:from>
    <xdr:to>
      <xdr:col>12</xdr:col>
      <xdr:colOff>495300</xdr:colOff>
      <xdr:row>46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9925050" y="9734550"/>
          <a:ext cx="257175" cy="504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66</xdr:row>
      <xdr:rowOff>200025</xdr:rowOff>
    </xdr:from>
    <xdr:to>
      <xdr:col>12</xdr:col>
      <xdr:colOff>523875</xdr:colOff>
      <xdr:row>70</xdr:row>
      <xdr:rowOff>19050</xdr:rowOff>
    </xdr:to>
    <xdr:sp>
      <xdr:nvSpPr>
        <xdr:cNvPr id="12" name="AutoShape 12"/>
        <xdr:cNvSpPr>
          <a:spLocks/>
        </xdr:cNvSpPr>
      </xdr:nvSpPr>
      <xdr:spPr>
        <a:xfrm rot="10800000">
          <a:off x="9963150" y="14316075"/>
          <a:ext cx="247650" cy="619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31</xdr:row>
      <xdr:rowOff>85725</xdr:rowOff>
    </xdr:from>
    <xdr:to>
      <xdr:col>12</xdr:col>
      <xdr:colOff>438150</xdr:colOff>
      <xdr:row>33</xdr:row>
      <xdr:rowOff>190500</xdr:rowOff>
    </xdr:to>
    <xdr:sp>
      <xdr:nvSpPr>
        <xdr:cNvPr id="13" name="AutoShape 13"/>
        <xdr:cNvSpPr>
          <a:spLocks/>
        </xdr:cNvSpPr>
      </xdr:nvSpPr>
      <xdr:spPr>
        <a:xfrm>
          <a:off x="9867900" y="7200900"/>
          <a:ext cx="257175" cy="504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ajcsnedf\Local%20Settings\Temporary%20Internet%20Files\Content.IE5\AB6LA58X\&#193;tvil&#225;g&#237;t&#225;s%20Krajcsn&#233;%20feldolgoz&#225;s%20utols&#243;%20t&#225;moga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Excel\Menyus\P&#233;nz&#252;gyielemz&#233;s\P&#252;modell\M_V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VIP\Besz&#225;mol&#243;\2007\&#201;ves\2007.%20&#233;vi%20besz&#225;mol&#243;%20mell&#233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VIP\Besz&#225;mol&#243;\2005\&#201;ves\Besz&#225;mol&#243;%202005.%20&#233;ves%20hagyom&#225;ny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07.%20&#233;vi%20besz&#225;mol&#243;%20mell&#233;kletei%20v&#233;gle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őbb mutatók 1."/>
      <sheetName val="Bevételek 98-tól"/>
      <sheetName val="Bevételek index %munka"/>
      <sheetName val="Vagyonhasznosítás bevét 98-tól"/>
      <sheetName val="helyi adó 1998-2002 "/>
      <sheetName val="Kiadások 98-tól"/>
      <sheetName val="Költségvetési hiány"/>
      <sheetName val="Norm. munka"/>
      <sheetName val="Hitelállomány"/>
      <sheetName val=" köv-köt"/>
      <sheetName val="Intézményi kiadások és támogat."/>
      <sheetName val="bejárók 2005-2006"/>
      <sheetName val="Üzletrészek"/>
      <sheetName val="Részesedések"/>
      <sheetName val="Vagyon alakulása"/>
      <sheetName val="bejárók 2005"/>
      <sheetName val="bejárók 2006"/>
      <sheetName val="B függelék"/>
    </sheetNames>
    <sheetDataSet>
      <sheetData sheetId="5">
        <row r="89">
          <cell r="B89">
            <v>1998</v>
          </cell>
          <cell r="C89">
            <v>1999</v>
          </cell>
          <cell r="D89">
            <v>2000</v>
          </cell>
          <cell r="E89">
            <v>2001</v>
          </cell>
          <cell r="F89">
            <v>2002</v>
          </cell>
          <cell r="G89">
            <v>2003</v>
          </cell>
          <cell r="H89">
            <v>2004</v>
          </cell>
          <cell r="I89">
            <v>2005</v>
          </cell>
          <cell r="J89" t="str">
            <v>2006 terv</v>
          </cell>
        </row>
        <row r="90">
          <cell r="A90" t="str">
            <v>Bér és járulék</v>
          </cell>
          <cell r="B90">
            <v>4208240</v>
          </cell>
          <cell r="C90">
            <v>4777712</v>
          </cell>
          <cell r="D90">
            <v>4983642</v>
          </cell>
          <cell r="E90">
            <v>5827464</v>
          </cell>
          <cell r="F90">
            <v>7209983</v>
          </cell>
          <cell r="G90">
            <v>9062760</v>
          </cell>
          <cell r="H90">
            <v>9221611</v>
          </cell>
          <cell r="I90">
            <v>9993605</v>
          </cell>
          <cell r="J90">
            <v>10181257</v>
          </cell>
        </row>
        <row r="91">
          <cell r="A91" t="str">
            <v>Felhalmozási kiadás</v>
          </cell>
          <cell r="B91">
            <v>2425962</v>
          </cell>
          <cell r="C91">
            <v>1799580</v>
          </cell>
          <cell r="D91">
            <v>2203550</v>
          </cell>
          <cell r="E91">
            <v>5126577</v>
          </cell>
          <cell r="F91">
            <v>3028663</v>
          </cell>
          <cell r="G91">
            <v>1773290</v>
          </cell>
          <cell r="H91">
            <v>2616472</v>
          </cell>
          <cell r="I91">
            <v>4269455</v>
          </cell>
          <cell r="J91">
            <v>6770434</v>
          </cell>
        </row>
        <row r="92">
          <cell r="A92" t="str">
            <v>Működési kiadás</v>
          </cell>
          <cell r="B92">
            <v>4913636</v>
          </cell>
          <cell r="C92">
            <v>5505898</v>
          </cell>
          <cell r="D92">
            <v>7060590</v>
          </cell>
          <cell r="E92">
            <v>9610834</v>
          </cell>
          <cell r="F92">
            <v>9359603</v>
          </cell>
          <cell r="G92">
            <v>11662567</v>
          </cell>
          <cell r="H92">
            <v>8149588</v>
          </cell>
          <cell r="I92">
            <v>10909516</v>
          </cell>
          <cell r="J92">
            <v>7081541</v>
          </cell>
        </row>
        <row r="114">
          <cell r="B114">
            <v>2000</v>
          </cell>
          <cell r="C114">
            <v>2001</v>
          </cell>
          <cell r="D114">
            <v>2002</v>
          </cell>
          <cell r="E114">
            <v>2003</v>
          </cell>
          <cell r="F114">
            <v>2004</v>
          </cell>
          <cell r="G114">
            <v>2005</v>
          </cell>
          <cell r="H114">
            <v>2006</v>
          </cell>
        </row>
        <row r="115">
          <cell r="A115" t="str">
            <v>Önkormányzati bér és járulék </v>
          </cell>
          <cell r="B115">
            <v>4984</v>
          </cell>
          <cell r="C115">
            <v>5827</v>
          </cell>
          <cell r="D115">
            <v>7210</v>
          </cell>
          <cell r="E115">
            <v>9063</v>
          </cell>
          <cell r="F115">
            <v>9222</v>
          </cell>
          <cell r="G115">
            <v>9994</v>
          </cell>
          <cell r="H115">
            <v>10181</v>
          </cell>
        </row>
        <row r="116">
          <cell r="A116" t="str">
            <v>Államtól működésre kapott millió Ft</v>
          </cell>
          <cell r="B116">
            <v>6161</v>
          </cell>
          <cell r="C116">
            <v>6389</v>
          </cell>
          <cell r="D116">
            <v>7769</v>
          </cell>
          <cell r="E116">
            <v>9711</v>
          </cell>
          <cell r="F116">
            <v>10442</v>
          </cell>
          <cell r="G116">
            <v>11253</v>
          </cell>
          <cell r="H116">
            <v>9719</v>
          </cell>
        </row>
        <row r="137">
          <cell r="B137">
            <v>2000</v>
          </cell>
          <cell r="C137">
            <v>2001</v>
          </cell>
          <cell r="D137">
            <v>2002</v>
          </cell>
          <cell r="E137">
            <v>2003</v>
          </cell>
          <cell r="F137">
            <v>2004</v>
          </cell>
          <cell r="G137">
            <v>2005</v>
          </cell>
          <cell r="H137">
            <v>2006</v>
          </cell>
        </row>
        <row r="138">
          <cell r="A138" t="str">
            <v>Intézményi bér és járulék millió Ft</v>
          </cell>
          <cell r="B138">
            <v>4366</v>
          </cell>
          <cell r="C138">
            <v>5007</v>
          </cell>
          <cell r="D138">
            <v>6262</v>
          </cell>
          <cell r="E138">
            <v>7940</v>
          </cell>
          <cell r="F138">
            <v>8101</v>
          </cell>
          <cell r="G138">
            <v>8702</v>
          </cell>
          <cell r="H138">
            <v>8892</v>
          </cell>
        </row>
        <row r="139">
          <cell r="A139" t="str">
            <v>Államtól működésre kapott millió Ft</v>
          </cell>
          <cell r="B139">
            <v>6161</v>
          </cell>
          <cell r="C139">
            <v>6389</v>
          </cell>
          <cell r="D139">
            <v>7769</v>
          </cell>
          <cell r="E139">
            <v>9711</v>
          </cell>
          <cell r="F139">
            <v>10442</v>
          </cell>
          <cell r="G139">
            <v>11253</v>
          </cell>
          <cell r="H139">
            <v>9719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1.a.mell.állami elsz"/>
      <sheetName val="1.a.a.mell.int.bontás"/>
      <sheetName val="1.b.kötött"/>
      <sheetName val="1.c.bevétel"/>
      <sheetName val="2.sz.melléklet"/>
      <sheetName val="1.b.a.kötött"/>
      <sheetName val="2.a.tartalék"/>
      <sheetName val="3.sz kiadás"/>
      <sheetName val="3.a. Beruházás forrásszerk.   "/>
      <sheetName val="EU Kétpó"/>
      <sheetName val="EU inf szolg"/>
      <sheetName val="EU piac"/>
      <sheetName val="3 d EU belváros"/>
      <sheetName val="4.sz.mérleg tőke és folyó"/>
      <sheetName val="5.sz.kötelezettségek"/>
      <sheetName val="5.a. adósságszolg "/>
      <sheetName val="5.b.beruházás"/>
      <sheetName val="5.c.felújítási köt."/>
      <sheetName val="5.d.felh.köt."/>
      <sheetName val="6.sz.melléklet"/>
      <sheetName val="6.a.sz.melléklet önk.szintű"/>
      <sheetName val="6.a.a. mellékelt"/>
      <sheetName val="6.b.melléklet"/>
      <sheetName val="8.sz.melléklet"/>
      <sheetName val="egyszerűsített mérleg"/>
      <sheetName val="egysz.pénzforg.jelentés"/>
      <sheetName val="egysz.pénzmaradvány"/>
      <sheetName val="12.sz.kis.egysz.mérleg"/>
      <sheetName val="13.sz.kis.pénzforgalom"/>
      <sheetName val="14.sz.kis.pénzmaradvány"/>
      <sheetName val="15.sz.melléklet"/>
      <sheetName val="16.sz.melléklet"/>
      <sheetName val="1.sz.függelék"/>
      <sheetName val="2.sz.függelék"/>
      <sheetName val="3. sz. függelék"/>
    </sheetNames>
    <sheetDataSet>
      <sheetData sheetId="5">
        <row r="114">
          <cell r="H114">
            <v>31539</v>
          </cell>
        </row>
        <row r="115">
          <cell r="H115">
            <v>14</v>
          </cell>
        </row>
        <row r="116">
          <cell r="H116">
            <v>708</v>
          </cell>
        </row>
        <row r="121">
          <cell r="H121">
            <v>570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b.Kötött int-i bontásban"/>
      <sheetName val="1.b.a.Kötött felh.áll. ei.jogc."/>
      <sheetName val="1.sz.mérleg "/>
      <sheetName val="1.a.Állami elszámolás"/>
      <sheetName val="1.a.a.állami int.bont."/>
      <sheetName val="1.b. Kötött állami"/>
      <sheetName val="1.c.sz.bevétel "/>
      <sheetName val="2.d.energia naturália"/>
      <sheetName val="2. melléklet"/>
      <sheetName val="2.a. sz.Inti tartalék felh."/>
      <sheetName val=".........tartalék felhasználása"/>
      <sheetName val="2.b.int.2%  elvonás"/>
      <sheetName val="2.c.sz.ml.érettségi-szak.v.díj "/>
      <sheetName val="3.sz.kiadás"/>
      <sheetName val="3.a. Beruházás forrásszerk.   "/>
      <sheetName val="3.b.sz. Kétpó-Logisztika EU"/>
      <sheetName val="4.sz.mérleg tőke és folyó"/>
      <sheetName val="Több éves kötelezettségvállalás"/>
      <sheetName val="5.sz.kötelezettségek"/>
      <sheetName val="5.a. adósságszolg "/>
      <sheetName val="5.b.beruházás"/>
      <sheetName val="5.c.felújítási köt."/>
      <sheetName val="5.d.felh.köt."/>
      <sheetName val="5.e.közvetett tám."/>
      <sheetName val="5.f.több éves köt. indoklása"/>
      <sheetName val="6.sz.mell."/>
      <sheetName val="6a sz.mell."/>
      <sheetName val="6.b.pénzmaradvány"/>
      <sheetName val="7.sz. clf"/>
      <sheetName val="8.sz.mell. egyenlegek"/>
      <sheetName val="9.sz.mell.egysz.mérleg"/>
      <sheetName val="10.sz.mell.egysz.pénzforg."/>
      <sheetName val="11.sz.mell.egysz.pénzm.kim."/>
      <sheetName val="12.sz.kisebbség egysz.mérleg"/>
      <sheetName val="13.sz.kisebbség pénzforgalom"/>
      <sheetName val="14.sz.kisebbség pénzmaradvány"/>
      <sheetName val="15.sz.vagyonmérleg"/>
      <sheetName val="16.sz. pü.mutatók"/>
      <sheetName val="Függelék I. élelmezés"/>
      <sheetName val="Függelék II. energia naturália"/>
    </sheetNames>
    <sheetDataSet>
      <sheetData sheetId="4">
        <row r="596">
          <cell r="M596">
            <v>5803710980</v>
          </cell>
        </row>
      </sheetData>
      <sheetData sheetId="5">
        <row r="21">
          <cell r="L21">
            <v>146990290</v>
          </cell>
        </row>
      </sheetData>
      <sheetData sheetId="8">
        <row r="512">
          <cell r="K512">
            <v>155188</v>
          </cell>
        </row>
        <row r="513">
          <cell r="K513">
            <v>0</v>
          </cell>
        </row>
        <row r="514">
          <cell r="K514">
            <v>6036</v>
          </cell>
        </row>
        <row r="541">
          <cell r="K541">
            <v>584727</v>
          </cell>
        </row>
        <row r="557">
          <cell r="E557">
            <v>40288</v>
          </cell>
          <cell r="H557">
            <v>26414</v>
          </cell>
          <cell r="K557">
            <v>4732</v>
          </cell>
        </row>
        <row r="558">
          <cell r="E558">
            <v>0</v>
          </cell>
          <cell r="H558">
            <v>0</v>
          </cell>
          <cell r="K558">
            <v>0</v>
          </cell>
        </row>
        <row r="559">
          <cell r="E559">
            <v>4415</v>
          </cell>
          <cell r="H559">
            <v>2561</v>
          </cell>
          <cell r="K559">
            <v>111317</v>
          </cell>
        </row>
        <row r="586">
          <cell r="E586">
            <v>477358</v>
          </cell>
          <cell r="H586">
            <v>111401</v>
          </cell>
          <cell r="K586">
            <v>253929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1.a.mell.állami elsz"/>
      <sheetName val="1.a.a.mell.int.bontás"/>
      <sheetName val="1.b.kötött"/>
      <sheetName val="1.b.a.kötött"/>
      <sheetName val="1.b.b.melléklet"/>
      <sheetName val="1.c.bevétel"/>
      <sheetName val="2.sz.melléklet"/>
      <sheetName val="2.a.tartalék"/>
      <sheetName val="2.b melléklet 2%"/>
      <sheetName val="2.b melléklet 2% jó"/>
      <sheetName val="3.sz kiadás"/>
      <sheetName val="3.a. Beruházás forrásszerk.   "/>
      <sheetName val="EU Kétpó"/>
      <sheetName val="EU inf szolg"/>
      <sheetName val="EU piac"/>
      <sheetName val="3 d EU belváros"/>
      <sheetName val="4.sz.mérleg tőke és folyó"/>
      <sheetName val="5.sz.kötelezettségek"/>
      <sheetName val="5.a. adósságszolg "/>
      <sheetName val="5.b.beruházás"/>
      <sheetName val="5.c.felújítási köt."/>
      <sheetName val="5.d.felh.köt."/>
      <sheetName val="5 e közvetett tám"/>
      <sheetName val="6.sz.melléklet"/>
      <sheetName val="6.a.sz.melléklet önk.szintű"/>
      <sheetName val="6.a.a. mellékelt"/>
      <sheetName val="6.b.melléklet"/>
      <sheetName val="7.sz.melléklet"/>
      <sheetName val="8.egyszerűsített mérleg"/>
      <sheetName val="9.egysz.pénzforg.jelentés"/>
      <sheetName val="10.egysz.pénzmaradvány"/>
      <sheetName val="11.sz.kis.egysz.mérleg"/>
      <sheetName val="12.sz.kis.pénzforgalom"/>
      <sheetName val="13.sz.kis.pénzmaradvány"/>
      <sheetName val="14.sz.melléklet"/>
      <sheetName val="1.sz.függelék"/>
      <sheetName val="2.sz.függelék"/>
      <sheetName val="3. sz. függelék"/>
    </sheetNames>
    <sheetDataSet>
      <sheetData sheetId="29">
        <row r="13">
          <cell r="F13">
            <v>912417</v>
          </cell>
        </row>
        <row r="28">
          <cell r="F28">
            <v>2775415</v>
          </cell>
        </row>
      </sheetData>
      <sheetData sheetId="35">
        <row r="36">
          <cell r="F36">
            <v>71472263</v>
          </cell>
        </row>
        <row r="44">
          <cell r="F44">
            <v>260621</v>
          </cell>
        </row>
        <row r="61">
          <cell r="F61">
            <v>2032461</v>
          </cell>
        </row>
        <row r="66">
          <cell r="F66">
            <v>395928</v>
          </cell>
        </row>
        <row r="67">
          <cell r="F67">
            <v>8291918</v>
          </cell>
        </row>
        <row r="68">
          <cell r="F68">
            <v>79764181</v>
          </cell>
        </row>
        <row r="73">
          <cell r="F73">
            <v>3310835</v>
          </cell>
        </row>
        <row r="76">
          <cell r="F76">
            <v>62832206</v>
          </cell>
        </row>
        <row r="92">
          <cell r="F92">
            <v>1791795</v>
          </cell>
        </row>
        <row r="99">
          <cell r="F99">
            <v>11726614</v>
          </cell>
        </row>
        <row r="102">
          <cell r="F102">
            <v>724743</v>
          </cell>
        </row>
        <row r="123">
          <cell r="F123">
            <v>2776972</v>
          </cell>
        </row>
        <row r="131">
          <cell r="F131">
            <v>15140180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3:F29"/>
  <sheetViews>
    <sheetView workbookViewId="0" topLeftCell="A5">
      <selection activeCell="D17" sqref="D17"/>
    </sheetView>
  </sheetViews>
  <sheetFormatPr defaultColWidth="9.140625" defaultRowHeight="12.75"/>
  <cols>
    <col min="1" max="1" width="58.00390625" style="157" customWidth="1"/>
    <col min="2" max="2" width="14.7109375" style="157" customWidth="1"/>
    <col min="3" max="3" width="14.8515625" style="157" customWidth="1"/>
    <col min="4" max="16384" width="9.140625" style="157" customWidth="1"/>
  </cols>
  <sheetData>
    <row r="3" spans="1:3" ht="24" customHeight="1">
      <c r="A3" s="823" t="s">
        <v>62</v>
      </c>
      <c r="B3" s="823"/>
      <c r="C3" s="823"/>
    </row>
    <row r="4" spans="1:3" ht="24" customHeight="1">
      <c r="A4" s="823" t="s">
        <v>351</v>
      </c>
      <c r="B4" s="823"/>
      <c r="C4" s="823"/>
    </row>
    <row r="7" spans="1:3" ht="12.75">
      <c r="A7" s="158"/>
      <c r="C7" s="159" t="s">
        <v>11</v>
      </c>
    </row>
    <row r="8" spans="1:3" ht="24.75" customHeight="1">
      <c r="A8" s="160" t="s">
        <v>63</v>
      </c>
      <c r="B8" s="161" t="s">
        <v>64</v>
      </c>
      <c r="C8" s="162" t="s">
        <v>65</v>
      </c>
    </row>
    <row r="9" spans="1:4" s="166" customFormat="1" ht="19.5" customHeight="1">
      <c r="A9" s="163" t="s">
        <v>66</v>
      </c>
      <c r="B9" s="164">
        <v>76881</v>
      </c>
      <c r="C9" s="165">
        <v>76516</v>
      </c>
      <c r="D9" s="158"/>
    </row>
    <row r="10" spans="1:5" ht="19.5" customHeight="1">
      <c r="A10" s="167" t="s">
        <v>67</v>
      </c>
      <c r="B10" s="168">
        <v>1114827</v>
      </c>
      <c r="C10" s="169">
        <f>394747+SUM(E11:E14)</f>
        <v>9080876</v>
      </c>
      <c r="E10" s="157">
        <v>394747</v>
      </c>
    </row>
    <row r="11" spans="1:5" ht="19.5" customHeight="1">
      <c r="A11" s="167" t="s">
        <v>68</v>
      </c>
      <c r="B11" s="171">
        <f>B10/B9</f>
        <v>14.500682873531822</v>
      </c>
      <c r="C11" s="172">
        <f>C10/C9</f>
        <v>118.67943959433322</v>
      </c>
      <c r="E11" s="157">
        <v>2072496</v>
      </c>
    </row>
    <row r="12" spans="1:5" ht="19.5" customHeight="1">
      <c r="A12" s="173" t="s">
        <v>69</v>
      </c>
      <c r="B12" s="168">
        <v>29593124</v>
      </c>
      <c r="C12" s="169">
        <v>30077372</v>
      </c>
      <c r="E12" s="157">
        <v>6121504</v>
      </c>
    </row>
    <row r="13" spans="1:5" ht="19.5" customHeight="1">
      <c r="A13" s="173" t="s">
        <v>70</v>
      </c>
      <c r="B13" s="168">
        <v>8046745</v>
      </c>
      <c r="C13" s="169">
        <v>8084683</v>
      </c>
      <c r="E13" s="157">
        <v>614233</v>
      </c>
    </row>
    <row r="14" spans="1:5" ht="19.5" customHeight="1">
      <c r="A14" s="173" t="s">
        <v>71</v>
      </c>
      <c r="B14" s="168">
        <v>3825900</v>
      </c>
      <c r="C14" s="169">
        <v>4146185</v>
      </c>
      <c r="E14" s="157">
        <v>-122104</v>
      </c>
    </row>
    <row r="15" spans="1:6" ht="19.5" customHeight="1">
      <c r="A15" s="173" t="s">
        <v>72</v>
      </c>
      <c r="B15" s="171">
        <f>B12/B9</f>
        <v>384.92116387664055</v>
      </c>
      <c r="C15" s="172">
        <f>C12/C9</f>
        <v>393.0860473626431</v>
      </c>
      <c r="E15" s="157">
        <f>SUM(E10:E14)</f>
        <v>9080876</v>
      </c>
      <c r="F15" s="157">
        <f>E15/76516</f>
        <v>118.67943959433322</v>
      </c>
    </row>
    <row r="16" spans="1:3" ht="19.5" customHeight="1">
      <c r="A16" s="173" t="s">
        <v>73</v>
      </c>
      <c r="B16" s="171">
        <f>B13/B9</f>
        <v>104.66493672038605</v>
      </c>
      <c r="C16" s="172">
        <f>C13/C9</f>
        <v>105.6600318887553</v>
      </c>
    </row>
    <row r="17" spans="1:3" ht="19.5" customHeight="1">
      <c r="A17" s="173" t="s">
        <v>74</v>
      </c>
      <c r="B17" s="171">
        <f>B14/B9</f>
        <v>49.763920864713</v>
      </c>
      <c r="C17" s="172">
        <f>C14/C9</f>
        <v>54.187163469078364</v>
      </c>
    </row>
    <row r="18" spans="1:3" ht="19.5" customHeight="1">
      <c r="A18" s="173" t="s">
        <v>75</v>
      </c>
      <c r="B18" s="174">
        <f>B13/B12</f>
        <v>0.27191265781875545</v>
      </c>
      <c r="C18" s="175">
        <f>C13/C12</f>
        <v>0.2687961900394755</v>
      </c>
    </row>
    <row r="19" spans="1:3" ht="19.5" customHeight="1">
      <c r="A19" s="173" t="s">
        <v>76</v>
      </c>
      <c r="B19" s="174">
        <f>B14/B12</f>
        <v>0.12928341056523807</v>
      </c>
      <c r="C19" s="175">
        <f>C14/C12</f>
        <v>0.13785064067432487</v>
      </c>
    </row>
    <row r="20" spans="1:3" ht="19.5" customHeight="1">
      <c r="A20" s="173" t="s">
        <v>77</v>
      </c>
      <c r="B20" s="168">
        <v>28809015</v>
      </c>
      <c r="C20" s="169">
        <v>27962741</v>
      </c>
    </row>
    <row r="21" spans="1:3" ht="19.5" customHeight="1">
      <c r="A21" s="173" t="s">
        <v>78</v>
      </c>
      <c r="B21" s="176">
        <v>6084835</v>
      </c>
      <c r="C21" s="177">
        <v>3766325</v>
      </c>
    </row>
    <row r="22" spans="1:3" ht="19.5" customHeight="1">
      <c r="A22" s="173" t="s">
        <v>79</v>
      </c>
      <c r="B22" s="174">
        <f>B21/B20</f>
        <v>0.21121287902415267</v>
      </c>
      <c r="C22" s="175">
        <f>C21/C20</f>
        <v>0.13469083735389173</v>
      </c>
    </row>
    <row r="23" spans="1:3" ht="19.5" customHeight="1">
      <c r="A23" s="173" t="s">
        <v>80</v>
      </c>
      <c r="B23" s="171">
        <f>B20/B9</f>
        <v>374.72216802591015</v>
      </c>
      <c r="C23" s="172">
        <f>C20/C9</f>
        <v>365.44959224214546</v>
      </c>
    </row>
    <row r="24" spans="1:3" ht="19.5" customHeight="1">
      <c r="A24" s="173" t="s">
        <v>81</v>
      </c>
      <c r="B24" s="171">
        <f>B21/B9</f>
        <v>79.14614794292478</v>
      </c>
      <c r="C24" s="172">
        <f>C21/C9</f>
        <v>49.22271158973287</v>
      </c>
    </row>
    <row r="25" spans="1:3" ht="19.5" customHeight="1">
      <c r="A25" s="173" t="s">
        <v>82</v>
      </c>
      <c r="B25" s="176">
        <v>42</v>
      </c>
      <c r="C25" s="177">
        <v>43</v>
      </c>
    </row>
    <row r="26" spans="1:3" ht="19.5" customHeight="1">
      <c r="A26" s="173" t="s">
        <v>83</v>
      </c>
      <c r="B26" s="176">
        <v>32</v>
      </c>
      <c r="C26" s="177">
        <v>33</v>
      </c>
    </row>
    <row r="27" spans="1:3" ht="33.75" customHeight="1">
      <c r="A27" s="178" t="s">
        <v>84</v>
      </c>
      <c r="B27" s="179">
        <v>3369.25</v>
      </c>
      <c r="C27" s="711">
        <v>2823.4</v>
      </c>
    </row>
    <row r="28" spans="1:2" ht="15.75">
      <c r="A28" s="180"/>
      <c r="B28" s="181"/>
    </row>
    <row r="29" spans="1:3" ht="12.75">
      <c r="A29" s="158"/>
      <c r="C29" s="182"/>
    </row>
  </sheetData>
  <mergeCells count="2">
    <mergeCell ref="A3:C3"/>
    <mergeCell ref="A4:C4"/>
  </mergeCells>
  <printOptions horizontalCentered="1"/>
  <pageMargins left="0.7480314960629921" right="0.47" top="0.984251968503937" bottom="0.984251968503937" header="0.66929133858267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2:J50"/>
  <sheetViews>
    <sheetView workbookViewId="0" topLeftCell="A1">
      <pane xSplit="1" ySplit="7" topLeftCell="B3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36" sqref="B36"/>
    </sheetView>
  </sheetViews>
  <sheetFormatPr defaultColWidth="9.140625" defaultRowHeight="16.5" customHeight="1"/>
  <cols>
    <col min="1" max="1" width="49.00390625" style="373" customWidth="1"/>
    <col min="2" max="2" width="12.00390625" style="374" customWidth="1"/>
    <col min="3" max="3" width="10.57421875" style="375" customWidth="1"/>
    <col min="4" max="4" width="11.57421875" style="374" customWidth="1"/>
    <col min="5" max="5" width="10.57421875" style="375" customWidth="1"/>
    <col min="6" max="6" width="10.57421875" style="374" customWidth="1"/>
    <col min="7" max="7" width="10.57421875" style="375" customWidth="1"/>
    <col min="8" max="8" width="10.57421875" style="374" customWidth="1"/>
    <col min="9" max="9" width="10.57421875" style="375" customWidth="1"/>
    <col min="10" max="10" width="10.57421875" style="374" customWidth="1"/>
    <col min="11" max="16384" width="10.28125" style="373" customWidth="1"/>
  </cols>
  <sheetData>
    <row r="2" spans="1:10" ht="16.5" customHeight="1">
      <c r="A2" s="912" t="s">
        <v>164</v>
      </c>
      <c r="B2" s="912"/>
      <c r="C2" s="912"/>
      <c r="D2" s="912"/>
      <c r="E2" s="912"/>
      <c r="F2" s="912"/>
      <c r="G2" s="912"/>
      <c r="H2" s="912"/>
      <c r="I2" s="912"/>
      <c r="J2" s="913"/>
    </row>
    <row r="3" spans="1:10" ht="16.5" customHeight="1">
      <c r="A3" s="912" t="s">
        <v>64</v>
      </c>
      <c r="B3" s="912"/>
      <c r="C3" s="912"/>
      <c r="D3" s="912"/>
      <c r="E3" s="912"/>
      <c r="F3" s="912"/>
      <c r="G3" s="912"/>
      <c r="H3" s="912"/>
      <c r="I3" s="912"/>
      <c r="J3" s="912"/>
    </row>
    <row r="4" spans="8:10" ht="16.5" customHeight="1">
      <c r="H4" s="376"/>
      <c r="I4" s="377"/>
      <c r="J4" s="327" t="s">
        <v>11</v>
      </c>
    </row>
    <row r="5" spans="1:10" ht="17.25" customHeight="1">
      <c r="A5" s="914" t="s">
        <v>165</v>
      </c>
      <c r="B5" s="917" t="s">
        <v>166</v>
      </c>
      <c r="C5" s="917"/>
      <c r="D5" s="917"/>
      <c r="E5" s="917"/>
      <c r="F5" s="917" t="s">
        <v>167</v>
      </c>
      <c r="G5" s="918"/>
      <c r="H5" s="919" t="s">
        <v>168</v>
      </c>
      <c r="I5" s="920"/>
      <c r="J5" s="909" t="s">
        <v>169</v>
      </c>
    </row>
    <row r="6" spans="1:10" s="378" customFormat="1" ht="17.25" customHeight="1">
      <c r="A6" s="915"/>
      <c r="B6" s="896" t="s">
        <v>170</v>
      </c>
      <c r="C6" s="896" t="s">
        <v>214</v>
      </c>
      <c r="D6" s="896" t="s">
        <v>172</v>
      </c>
      <c r="E6" s="896" t="s">
        <v>214</v>
      </c>
      <c r="F6" s="898" t="s">
        <v>173</v>
      </c>
      <c r="G6" s="896" t="s">
        <v>214</v>
      </c>
      <c r="H6" s="896" t="s">
        <v>174</v>
      </c>
      <c r="I6" s="896" t="s">
        <v>214</v>
      </c>
      <c r="J6" s="910"/>
    </row>
    <row r="7" spans="1:10" s="378" customFormat="1" ht="17.25" customHeight="1">
      <c r="A7" s="916"/>
      <c r="B7" s="897" t="s">
        <v>175</v>
      </c>
      <c r="C7" s="897"/>
      <c r="D7" s="897" t="s">
        <v>176</v>
      </c>
      <c r="E7" s="897"/>
      <c r="F7" s="899"/>
      <c r="G7" s="897"/>
      <c r="H7" s="897"/>
      <c r="I7" s="897"/>
      <c r="J7" s="921"/>
    </row>
    <row r="8" spans="1:10" ht="16.5" customHeight="1">
      <c r="A8" s="379" t="s">
        <v>215</v>
      </c>
      <c r="B8" s="380">
        <v>619.125</v>
      </c>
      <c r="C8" s="381">
        <f aca="true" t="shared" si="0" ref="C8:C48">B8/J8*100</f>
        <v>0.20607070226299162</v>
      </c>
      <c r="D8" s="380">
        <v>122681</v>
      </c>
      <c r="E8" s="382">
        <f aca="true" t="shared" si="1" ref="E8:E48">D8/J8*100</f>
        <v>40.833369391199</v>
      </c>
      <c r="F8" s="380">
        <v>24754</v>
      </c>
      <c r="G8" s="382">
        <f aca="true" t="shared" si="2" ref="G8:G48">(F8/J8)*100</f>
        <v>8.239166830313902</v>
      </c>
      <c r="H8" s="380">
        <f aca="true" t="shared" si="3" ref="H8:H46">J8-F8-D8-B8</f>
        <v>152388.875</v>
      </c>
      <c r="I8" s="382">
        <f aca="true" t="shared" si="4" ref="I8:I48">H8/J8*100</f>
        <v>50.72139307622411</v>
      </c>
      <c r="J8" s="383">
        <v>300443</v>
      </c>
    </row>
    <row r="9" spans="1:10" ht="16.5" customHeight="1">
      <c r="A9" s="384" t="s">
        <v>216</v>
      </c>
      <c r="B9" s="385">
        <v>738.075</v>
      </c>
      <c r="C9" s="386">
        <f t="shared" si="0"/>
        <v>0.203615883735558</v>
      </c>
      <c r="D9" s="385">
        <v>152926</v>
      </c>
      <c r="E9" s="387">
        <f t="shared" si="1"/>
        <v>42.18834486487679</v>
      </c>
      <c r="F9" s="385">
        <v>26702</v>
      </c>
      <c r="G9" s="387">
        <f t="shared" si="2"/>
        <v>7.366394102912128</v>
      </c>
      <c r="H9" s="385">
        <f t="shared" si="3"/>
        <v>182117.925</v>
      </c>
      <c r="I9" s="387">
        <f t="shared" si="4"/>
        <v>50.24164514847551</v>
      </c>
      <c r="J9" s="388">
        <v>362484</v>
      </c>
    </row>
    <row r="10" spans="1:10" ht="16.5" customHeight="1">
      <c r="A10" s="384" t="s">
        <v>217</v>
      </c>
      <c r="B10" s="385">
        <v>642.525</v>
      </c>
      <c r="C10" s="386">
        <f t="shared" si="0"/>
        <v>0.2022477745741158</v>
      </c>
      <c r="D10" s="385">
        <v>134376</v>
      </c>
      <c r="E10" s="387">
        <f t="shared" si="1"/>
        <v>42.297571232514514</v>
      </c>
      <c r="F10" s="385">
        <v>27162</v>
      </c>
      <c r="G10" s="387">
        <f t="shared" si="2"/>
        <v>8.549790362993088</v>
      </c>
      <c r="H10" s="385">
        <f t="shared" si="3"/>
        <v>155511.475</v>
      </c>
      <c r="I10" s="387">
        <f t="shared" si="4"/>
        <v>48.95039062991829</v>
      </c>
      <c r="J10" s="388">
        <v>317692</v>
      </c>
    </row>
    <row r="11" spans="1:10" ht="16.5" customHeight="1">
      <c r="A11" s="389" t="s">
        <v>218</v>
      </c>
      <c r="B11" s="390">
        <v>675.675</v>
      </c>
      <c r="C11" s="391">
        <f t="shared" si="0"/>
        <v>0.20676944827818358</v>
      </c>
      <c r="D11" s="390">
        <v>132972</v>
      </c>
      <c r="E11" s="392">
        <f t="shared" si="1"/>
        <v>40.691970365111374</v>
      </c>
      <c r="F11" s="390">
        <v>23846</v>
      </c>
      <c r="G11" s="392">
        <f t="shared" si="2"/>
        <v>7.297331207520726</v>
      </c>
      <c r="H11" s="390">
        <f t="shared" si="3"/>
        <v>169283.325</v>
      </c>
      <c r="I11" s="392">
        <f t="shared" si="4"/>
        <v>51.80392897908972</v>
      </c>
      <c r="J11" s="393">
        <v>326777</v>
      </c>
    </row>
    <row r="12" spans="1:10" s="398" customFormat="1" ht="16.5" customHeight="1">
      <c r="A12" s="335" t="s">
        <v>178</v>
      </c>
      <c r="B12" s="394">
        <f>SUM(B8:B11)</f>
        <v>2675.3999999999996</v>
      </c>
      <c r="C12" s="395">
        <f t="shared" si="0"/>
        <v>0.20463577982493442</v>
      </c>
      <c r="D12" s="394">
        <f>SUM(D8:D11)</f>
        <v>542955</v>
      </c>
      <c r="E12" s="396">
        <f t="shared" si="1"/>
        <v>41.5294983310336</v>
      </c>
      <c r="F12" s="394">
        <f>SUM(F8:F11)</f>
        <v>102464</v>
      </c>
      <c r="G12" s="396">
        <f t="shared" si="2"/>
        <v>7.837258183442507</v>
      </c>
      <c r="H12" s="394">
        <f t="shared" si="3"/>
        <v>659301.6</v>
      </c>
      <c r="I12" s="396">
        <f t="shared" si="4"/>
        <v>50.42860770569896</v>
      </c>
      <c r="J12" s="397">
        <f>SUM(J8:J11)</f>
        <v>1307396</v>
      </c>
    </row>
    <row r="13" spans="1:10" ht="25.5">
      <c r="A13" s="340" t="s">
        <v>179</v>
      </c>
      <c r="B13" s="380">
        <v>898.95</v>
      </c>
      <c r="C13" s="381">
        <f t="shared" si="0"/>
        <v>0.24271608738265144</v>
      </c>
      <c r="D13" s="380">
        <v>206684</v>
      </c>
      <c r="E13" s="382">
        <f t="shared" si="1"/>
        <v>55.804585132205275</v>
      </c>
      <c r="F13" s="380">
        <v>30224</v>
      </c>
      <c r="G13" s="382">
        <f t="shared" si="2"/>
        <v>8.160466127207584</v>
      </c>
      <c r="H13" s="380">
        <f t="shared" si="3"/>
        <v>132564.05</v>
      </c>
      <c r="I13" s="382">
        <f t="shared" si="4"/>
        <v>35.792232653204486</v>
      </c>
      <c r="J13" s="383">
        <v>370371</v>
      </c>
    </row>
    <row r="14" spans="1:10" ht="16.5" customHeight="1">
      <c r="A14" s="345" t="s">
        <v>180</v>
      </c>
      <c r="B14" s="385">
        <v>393.9</v>
      </c>
      <c r="C14" s="386">
        <f t="shared" si="0"/>
        <v>0.32994094735519536</v>
      </c>
      <c r="D14" s="385">
        <v>45644</v>
      </c>
      <c r="E14" s="387">
        <f t="shared" si="1"/>
        <v>38.2326087866985</v>
      </c>
      <c r="F14" s="385">
        <v>5263</v>
      </c>
      <c r="G14" s="387">
        <f t="shared" si="2"/>
        <v>4.408426519244461</v>
      </c>
      <c r="H14" s="385">
        <f t="shared" si="3"/>
        <v>68084.1</v>
      </c>
      <c r="I14" s="387">
        <f t="shared" si="4"/>
        <v>57.02902374670186</v>
      </c>
      <c r="J14" s="388">
        <v>119385</v>
      </c>
    </row>
    <row r="15" spans="1:10" ht="16.5" customHeight="1">
      <c r="A15" s="350" t="s">
        <v>181</v>
      </c>
      <c r="B15" s="385">
        <v>624</v>
      </c>
      <c r="C15" s="386">
        <f t="shared" si="0"/>
        <v>0.24832559305643437</v>
      </c>
      <c r="D15" s="385">
        <v>160703</v>
      </c>
      <c r="E15" s="387">
        <f t="shared" si="1"/>
        <v>63.952993238698994</v>
      </c>
      <c r="F15" s="385">
        <v>23182</v>
      </c>
      <c r="G15" s="387">
        <f t="shared" si="2"/>
        <v>9.22545496511901</v>
      </c>
      <c r="H15" s="385">
        <f t="shared" si="3"/>
        <v>66774</v>
      </c>
      <c r="I15" s="387">
        <f t="shared" si="4"/>
        <v>26.57322620312556</v>
      </c>
      <c r="J15" s="388">
        <v>251283</v>
      </c>
    </row>
    <row r="16" spans="1:10" ht="16.5" customHeight="1">
      <c r="A16" s="350" t="s">
        <v>182</v>
      </c>
      <c r="B16" s="385">
        <v>444.6</v>
      </c>
      <c r="C16" s="386">
        <f t="shared" si="0"/>
        <v>0.22237115877080668</v>
      </c>
      <c r="D16" s="710">
        <v>108235</v>
      </c>
      <c r="E16" s="387">
        <f t="shared" si="1"/>
        <v>54.13482314340589</v>
      </c>
      <c r="F16" s="385">
        <v>27747</v>
      </c>
      <c r="G16" s="387">
        <f t="shared" si="2"/>
        <v>13.877940941101151</v>
      </c>
      <c r="H16" s="385">
        <f t="shared" si="3"/>
        <v>63509.4</v>
      </c>
      <c r="I16" s="387">
        <f t="shared" si="4"/>
        <v>31.76486475672215</v>
      </c>
      <c r="J16" s="388">
        <v>199936</v>
      </c>
    </row>
    <row r="17" spans="1:10" ht="16.5" customHeight="1">
      <c r="A17" s="350" t="s">
        <v>183</v>
      </c>
      <c r="B17" s="385">
        <v>432.9</v>
      </c>
      <c r="C17" s="386">
        <f t="shared" si="0"/>
        <v>0.22154328000736942</v>
      </c>
      <c r="D17" s="385">
        <v>115623</v>
      </c>
      <c r="E17" s="387">
        <f t="shared" si="1"/>
        <v>59.17186108637578</v>
      </c>
      <c r="F17" s="385">
        <v>22450</v>
      </c>
      <c r="G17" s="387">
        <f t="shared" si="2"/>
        <v>11.489135218677394</v>
      </c>
      <c r="H17" s="385">
        <f t="shared" si="3"/>
        <v>56896.1</v>
      </c>
      <c r="I17" s="387">
        <f t="shared" si="4"/>
        <v>29.117460414939455</v>
      </c>
      <c r="J17" s="388">
        <v>195402</v>
      </c>
    </row>
    <row r="18" spans="1:10" ht="16.5" customHeight="1">
      <c r="A18" s="351" t="s">
        <v>184</v>
      </c>
      <c r="B18" s="385">
        <v>534.3</v>
      </c>
      <c r="C18" s="386">
        <f t="shared" si="0"/>
        <v>0.21798020512904195</v>
      </c>
      <c r="D18" s="385">
        <v>134283</v>
      </c>
      <c r="E18" s="387">
        <f t="shared" si="1"/>
        <v>54.783896472661695</v>
      </c>
      <c r="F18" s="385">
        <v>22233</v>
      </c>
      <c r="G18" s="387">
        <f t="shared" si="2"/>
        <v>9.0704733307767</v>
      </c>
      <c r="H18" s="385">
        <f t="shared" si="3"/>
        <v>88063.7</v>
      </c>
      <c r="I18" s="387">
        <f t="shared" si="4"/>
        <v>35.92764999143256</v>
      </c>
      <c r="J18" s="388">
        <v>245114</v>
      </c>
    </row>
    <row r="19" spans="1:10" ht="16.5" customHeight="1">
      <c r="A19" s="350" t="s">
        <v>185</v>
      </c>
      <c r="B19" s="385">
        <v>413.4</v>
      </c>
      <c r="C19" s="386">
        <f t="shared" si="0"/>
        <v>0.22526032443153646</v>
      </c>
      <c r="D19" s="385">
        <v>83826</v>
      </c>
      <c r="E19" s="387">
        <f t="shared" si="1"/>
        <v>45.67651658393317</v>
      </c>
      <c r="F19" s="385">
        <v>3951</v>
      </c>
      <c r="G19" s="387">
        <f t="shared" si="2"/>
        <v>2.1528871355321737</v>
      </c>
      <c r="H19" s="385">
        <f t="shared" si="3"/>
        <v>95330.6</v>
      </c>
      <c r="I19" s="387">
        <f t="shared" si="4"/>
        <v>51.94533595610312</v>
      </c>
      <c r="J19" s="388">
        <v>183521</v>
      </c>
    </row>
    <row r="20" spans="1:10" ht="16.5" customHeight="1">
      <c r="A20" s="352" t="s">
        <v>186</v>
      </c>
      <c r="B20" s="385">
        <v>421.2</v>
      </c>
      <c r="C20" s="386">
        <f t="shared" si="0"/>
        <v>0.23178516398855384</v>
      </c>
      <c r="D20" s="385">
        <v>116405</v>
      </c>
      <c r="E20" s="387">
        <f t="shared" si="1"/>
        <v>64.05734096412063</v>
      </c>
      <c r="F20" s="385">
        <v>13762</v>
      </c>
      <c r="G20" s="387">
        <f t="shared" si="2"/>
        <v>7.573189522342065</v>
      </c>
      <c r="H20" s="385">
        <f t="shared" si="3"/>
        <v>51131.8</v>
      </c>
      <c r="I20" s="387">
        <f t="shared" si="4"/>
        <v>28.13768434954876</v>
      </c>
      <c r="J20" s="388">
        <v>181720</v>
      </c>
    </row>
    <row r="21" spans="1:10" ht="25.5">
      <c r="A21" s="340" t="s">
        <v>187</v>
      </c>
      <c r="B21" s="385">
        <v>816.465</v>
      </c>
      <c r="C21" s="386">
        <f t="shared" si="0"/>
        <v>0.23850162561964883</v>
      </c>
      <c r="D21" s="385">
        <v>207997</v>
      </c>
      <c r="E21" s="387">
        <f t="shared" si="1"/>
        <v>60.75903146370034</v>
      </c>
      <c r="F21" s="385">
        <v>43242</v>
      </c>
      <c r="G21" s="387">
        <f t="shared" si="2"/>
        <v>12.631634295462579</v>
      </c>
      <c r="H21" s="385">
        <f t="shared" si="3"/>
        <v>90275.535</v>
      </c>
      <c r="I21" s="387">
        <f t="shared" si="4"/>
        <v>26.370832615217438</v>
      </c>
      <c r="J21" s="388">
        <v>342331</v>
      </c>
    </row>
    <row r="22" spans="1:10" ht="16.5" customHeight="1">
      <c r="A22" s="340" t="s">
        <v>188</v>
      </c>
      <c r="B22" s="385">
        <v>627.9</v>
      </c>
      <c r="C22" s="386">
        <f t="shared" si="0"/>
        <v>0.29077790847372853</v>
      </c>
      <c r="D22" s="385">
        <v>123772</v>
      </c>
      <c r="E22" s="387">
        <f t="shared" si="1"/>
        <v>57.31830432809417</v>
      </c>
      <c r="F22" s="385">
        <v>9067</v>
      </c>
      <c r="G22" s="387">
        <f t="shared" si="2"/>
        <v>4.198890422250831</v>
      </c>
      <c r="H22" s="385">
        <f t="shared" si="3"/>
        <v>82471.1</v>
      </c>
      <c r="I22" s="387">
        <f t="shared" si="4"/>
        <v>38.192027341181266</v>
      </c>
      <c r="J22" s="388">
        <v>215938</v>
      </c>
    </row>
    <row r="23" spans="1:10" ht="25.5">
      <c r="A23" s="354" t="s">
        <v>189</v>
      </c>
      <c r="B23" s="385">
        <v>573.3</v>
      </c>
      <c r="C23" s="386">
        <f t="shared" si="0"/>
        <v>0.2538455407667171</v>
      </c>
      <c r="D23" s="385">
        <v>132979</v>
      </c>
      <c r="E23" s="387">
        <f t="shared" si="1"/>
        <v>58.88038752069995</v>
      </c>
      <c r="F23" s="385">
        <v>19264</v>
      </c>
      <c r="G23" s="387">
        <f t="shared" si="2"/>
        <v>8.529706082906051</v>
      </c>
      <c r="H23" s="385">
        <f t="shared" si="3"/>
        <v>73029.7</v>
      </c>
      <c r="I23" s="387">
        <f t="shared" si="4"/>
        <v>32.33606085562729</v>
      </c>
      <c r="J23" s="388">
        <v>225846</v>
      </c>
    </row>
    <row r="24" spans="1:10" ht="25.5">
      <c r="A24" s="340" t="s">
        <v>190</v>
      </c>
      <c r="B24" s="385">
        <v>674.7</v>
      </c>
      <c r="C24" s="386">
        <f t="shared" si="0"/>
        <v>0.23562074384494502</v>
      </c>
      <c r="D24" s="385">
        <v>178372</v>
      </c>
      <c r="E24" s="387">
        <f t="shared" si="1"/>
        <v>62.291601187358125</v>
      </c>
      <c r="F24" s="385">
        <v>32334</v>
      </c>
      <c r="G24" s="387">
        <f t="shared" si="2"/>
        <v>11.291775798847564</v>
      </c>
      <c r="H24" s="385">
        <f t="shared" si="3"/>
        <v>74969.3</v>
      </c>
      <c r="I24" s="387">
        <f t="shared" si="4"/>
        <v>26.181002269949367</v>
      </c>
      <c r="J24" s="388">
        <v>286350</v>
      </c>
    </row>
    <row r="25" spans="1:10" ht="16.5" customHeight="1">
      <c r="A25" s="350" t="s">
        <v>191</v>
      </c>
      <c r="B25" s="385">
        <v>990.6</v>
      </c>
      <c r="C25" s="386">
        <f t="shared" si="0"/>
        <v>0.25215217712252264</v>
      </c>
      <c r="D25" s="385">
        <v>247046</v>
      </c>
      <c r="E25" s="387">
        <f t="shared" si="1"/>
        <v>62.8842991615291</v>
      </c>
      <c r="F25" s="385">
        <v>28967</v>
      </c>
      <c r="G25" s="387">
        <f t="shared" si="2"/>
        <v>7.37340209439543</v>
      </c>
      <c r="H25" s="385">
        <f t="shared" si="3"/>
        <v>115854.4</v>
      </c>
      <c r="I25" s="387">
        <f t="shared" si="4"/>
        <v>29.490146566952944</v>
      </c>
      <c r="J25" s="388">
        <v>392858</v>
      </c>
    </row>
    <row r="26" spans="1:10" ht="16.5" customHeight="1">
      <c r="A26" s="355" t="s">
        <v>219</v>
      </c>
      <c r="B26" s="390">
        <v>24761</v>
      </c>
      <c r="C26" s="391">
        <f t="shared" si="0"/>
        <v>22.40348162825837</v>
      </c>
      <c r="D26" s="390">
        <v>2856</v>
      </c>
      <c r="E26" s="392">
        <f t="shared" si="1"/>
        <v>2.5840775223256696</v>
      </c>
      <c r="F26" s="390">
        <v>3685</v>
      </c>
      <c r="G26" s="392">
        <f t="shared" si="2"/>
        <v>3.3341476434769235</v>
      </c>
      <c r="H26" s="390">
        <f t="shared" si="3"/>
        <v>79221</v>
      </c>
      <c r="I26" s="392">
        <f t="shared" si="4"/>
        <v>71.67829320593904</v>
      </c>
      <c r="J26" s="393">
        <v>110523</v>
      </c>
    </row>
    <row r="27" spans="1:10" s="398" customFormat="1" ht="16.5" customHeight="1">
      <c r="A27" s="335" t="s">
        <v>193</v>
      </c>
      <c r="B27" s="394">
        <f>SUM(B13:B26)</f>
        <v>32607.215</v>
      </c>
      <c r="C27" s="395">
        <f t="shared" si="0"/>
        <v>0.9819740719838534</v>
      </c>
      <c r="D27" s="394">
        <f>SUM(D13:D26)</f>
        <v>1864425</v>
      </c>
      <c r="E27" s="396">
        <f t="shared" si="1"/>
        <v>56.147604423085376</v>
      </c>
      <c r="F27" s="394">
        <f>SUM(F13:F26)</f>
        <v>285371</v>
      </c>
      <c r="G27" s="396">
        <f t="shared" si="2"/>
        <v>8.594015861094062</v>
      </c>
      <c r="H27" s="394">
        <f t="shared" si="3"/>
        <v>1138174.785</v>
      </c>
      <c r="I27" s="396">
        <f t="shared" si="4"/>
        <v>34.2764056438367</v>
      </c>
      <c r="J27" s="397">
        <f>SUM(J13:J26)</f>
        <v>3320578</v>
      </c>
    </row>
    <row r="28" spans="1:10" ht="16.5" customHeight="1">
      <c r="A28" s="357" t="s">
        <v>194</v>
      </c>
      <c r="B28" s="380">
        <v>518.7</v>
      </c>
      <c r="C28" s="381">
        <f t="shared" si="0"/>
        <v>0.19714113054946392</v>
      </c>
      <c r="D28" s="380">
        <v>154697</v>
      </c>
      <c r="E28" s="382">
        <f t="shared" si="1"/>
        <v>58.79533732911205</v>
      </c>
      <c r="F28" s="380">
        <v>26468</v>
      </c>
      <c r="G28" s="382">
        <f t="shared" si="2"/>
        <v>10.059632626534048</v>
      </c>
      <c r="H28" s="380">
        <f t="shared" si="3"/>
        <v>81427.3</v>
      </c>
      <c r="I28" s="382">
        <f t="shared" si="4"/>
        <v>30.947888913804437</v>
      </c>
      <c r="J28" s="383">
        <v>263111</v>
      </c>
    </row>
    <row r="29" spans="1:10" ht="16.5" customHeight="1">
      <c r="A29" s="358" t="s">
        <v>195</v>
      </c>
      <c r="B29" s="385">
        <v>546.975</v>
      </c>
      <c r="C29" s="386">
        <f t="shared" si="0"/>
        <v>0.17977341598248855</v>
      </c>
      <c r="D29" s="385">
        <v>192184</v>
      </c>
      <c r="E29" s="387">
        <f t="shared" si="1"/>
        <v>63.16481407226762</v>
      </c>
      <c r="F29" s="385">
        <v>19397</v>
      </c>
      <c r="G29" s="387">
        <f t="shared" si="2"/>
        <v>6.375181589309073</v>
      </c>
      <c r="H29" s="385">
        <f t="shared" si="3"/>
        <v>92130.025</v>
      </c>
      <c r="I29" s="387">
        <f t="shared" si="4"/>
        <v>30.280230922440822</v>
      </c>
      <c r="J29" s="388">
        <v>304258</v>
      </c>
    </row>
    <row r="30" spans="1:10" ht="16.5" customHeight="1">
      <c r="A30" s="340" t="s">
        <v>196</v>
      </c>
      <c r="B30" s="385">
        <v>678.6</v>
      </c>
      <c r="C30" s="386">
        <f t="shared" si="0"/>
        <v>0.2135715162444648</v>
      </c>
      <c r="D30" s="385">
        <v>195389</v>
      </c>
      <c r="E30" s="387">
        <f t="shared" si="1"/>
        <v>61.493552884600255</v>
      </c>
      <c r="F30" s="385">
        <v>61071</v>
      </c>
      <c r="G30" s="387">
        <f t="shared" si="2"/>
        <v>19.220492290842483</v>
      </c>
      <c r="H30" s="385">
        <f t="shared" si="3"/>
        <v>60600.4</v>
      </c>
      <c r="I30" s="387">
        <f t="shared" si="4"/>
        <v>19.072383308312798</v>
      </c>
      <c r="J30" s="388">
        <v>317739</v>
      </c>
    </row>
    <row r="31" spans="1:10" ht="12.75">
      <c r="A31" s="354" t="s">
        <v>197</v>
      </c>
      <c r="B31" s="385">
        <v>703.014</v>
      </c>
      <c r="C31" s="386">
        <f t="shared" si="0"/>
        <v>0.21794220771369846</v>
      </c>
      <c r="D31" s="385">
        <v>207012</v>
      </c>
      <c r="E31" s="387">
        <f t="shared" si="1"/>
        <v>64.17603675492686</v>
      </c>
      <c r="F31" s="385">
        <v>28265</v>
      </c>
      <c r="G31" s="387">
        <f t="shared" si="2"/>
        <v>8.762466325034334</v>
      </c>
      <c r="H31" s="385">
        <f t="shared" si="3"/>
        <v>86588.986</v>
      </c>
      <c r="I31" s="387">
        <f t="shared" si="4"/>
        <v>26.84355471232512</v>
      </c>
      <c r="J31" s="388">
        <v>322569</v>
      </c>
    </row>
    <row r="32" spans="1:10" ht="25.5">
      <c r="A32" s="359" t="s">
        <v>198</v>
      </c>
      <c r="B32" s="390">
        <v>356.85</v>
      </c>
      <c r="C32" s="391">
        <f t="shared" si="0"/>
        <v>0.187234377459468</v>
      </c>
      <c r="D32" s="390">
        <v>110261</v>
      </c>
      <c r="E32" s="392">
        <f t="shared" si="1"/>
        <v>57.85245815625164</v>
      </c>
      <c r="F32" s="390">
        <v>23132</v>
      </c>
      <c r="G32" s="392">
        <f t="shared" si="2"/>
        <v>12.137048113752034</v>
      </c>
      <c r="H32" s="390">
        <f t="shared" si="3"/>
        <v>56840.15</v>
      </c>
      <c r="I32" s="392">
        <f t="shared" si="4"/>
        <v>29.82325935253686</v>
      </c>
      <c r="J32" s="393">
        <v>190590</v>
      </c>
    </row>
    <row r="33" spans="1:10" s="398" customFormat="1" ht="16.5" customHeight="1">
      <c r="A33" s="335" t="s">
        <v>199</v>
      </c>
      <c r="B33" s="394">
        <f>SUM(B28:B32)</f>
        <v>2804.139</v>
      </c>
      <c r="C33" s="395">
        <f t="shared" si="0"/>
        <v>0.20054388754079158</v>
      </c>
      <c r="D33" s="394">
        <f>SUM(D28:D32)</f>
        <v>859543</v>
      </c>
      <c r="E33" s="396">
        <f t="shared" si="1"/>
        <v>61.472022153136706</v>
      </c>
      <c r="F33" s="394">
        <f>SUM(F28:F32)</f>
        <v>158333</v>
      </c>
      <c r="G33" s="396">
        <f t="shared" si="2"/>
        <v>11.323516896272315</v>
      </c>
      <c r="H33" s="394">
        <f t="shared" si="3"/>
        <v>377586.861</v>
      </c>
      <c r="I33" s="396">
        <f t="shared" si="4"/>
        <v>27.00391706305019</v>
      </c>
      <c r="J33" s="397">
        <f>SUM(J28:J32)</f>
        <v>1398267</v>
      </c>
    </row>
    <row r="34" spans="1:10" ht="16.5" customHeight="1">
      <c r="A34" s="357" t="s">
        <v>200</v>
      </c>
      <c r="B34" s="380">
        <v>577.044</v>
      </c>
      <c r="C34" s="381">
        <f t="shared" si="0"/>
        <v>0.20184550377076016</v>
      </c>
      <c r="D34" s="380">
        <v>202457</v>
      </c>
      <c r="E34" s="382">
        <f t="shared" si="1"/>
        <v>70.81788417679898</v>
      </c>
      <c r="F34" s="380">
        <v>23769</v>
      </c>
      <c r="G34" s="382">
        <f t="shared" si="2"/>
        <v>8.314211358453079</v>
      </c>
      <c r="H34" s="380">
        <f t="shared" si="3"/>
        <v>59080.956</v>
      </c>
      <c r="I34" s="382">
        <f t="shared" si="4"/>
        <v>20.66605896097718</v>
      </c>
      <c r="J34" s="383">
        <v>285884</v>
      </c>
    </row>
    <row r="35" spans="1:10" ht="16.5" customHeight="1">
      <c r="A35" s="358" t="s">
        <v>201</v>
      </c>
      <c r="B35" s="385">
        <v>1025.778</v>
      </c>
      <c r="C35" s="386">
        <f t="shared" si="0"/>
        <v>0.17967294548741142</v>
      </c>
      <c r="D35" s="385">
        <v>338071</v>
      </c>
      <c r="E35" s="387">
        <f t="shared" si="1"/>
        <v>59.21574878177799</v>
      </c>
      <c r="F35" s="385">
        <v>68130</v>
      </c>
      <c r="G35" s="387">
        <f t="shared" si="2"/>
        <v>11.933496113249982</v>
      </c>
      <c r="H35" s="385">
        <f t="shared" si="3"/>
        <v>163687.222</v>
      </c>
      <c r="I35" s="387">
        <f t="shared" si="4"/>
        <v>28.67108215948462</v>
      </c>
      <c r="J35" s="388">
        <v>570914</v>
      </c>
    </row>
    <row r="36" spans="1:10" ht="16.5" customHeight="1">
      <c r="A36" s="358" t="s">
        <v>202</v>
      </c>
      <c r="B36" s="385">
        <v>592.8</v>
      </c>
      <c r="C36" s="386">
        <f t="shared" si="0"/>
        <v>0.18403250992651737</v>
      </c>
      <c r="D36" s="385">
        <v>168437</v>
      </c>
      <c r="E36" s="387">
        <f t="shared" si="1"/>
        <v>52.290627318645086</v>
      </c>
      <c r="F36" s="385">
        <v>49804</v>
      </c>
      <c r="G36" s="387">
        <f t="shared" si="2"/>
        <v>15.46146276042556</v>
      </c>
      <c r="H36" s="385">
        <f t="shared" si="3"/>
        <v>103283.2</v>
      </c>
      <c r="I36" s="387">
        <f t="shared" si="4"/>
        <v>32.063877411002835</v>
      </c>
      <c r="J36" s="388">
        <v>322117</v>
      </c>
    </row>
    <row r="37" spans="1:10" ht="25.5">
      <c r="A37" s="340" t="s">
        <v>203</v>
      </c>
      <c r="B37" s="385">
        <v>897</v>
      </c>
      <c r="C37" s="386">
        <f t="shared" si="0"/>
        <v>0.17452957760729093</v>
      </c>
      <c r="D37" s="385">
        <v>314483</v>
      </c>
      <c r="E37" s="387">
        <f t="shared" si="1"/>
        <v>61.18905814344892</v>
      </c>
      <c r="F37" s="385">
        <v>52712</v>
      </c>
      <c r="G37" s="387">
        <f t="shared" si="2"/>
        <v>10.256190741176722</v>
      </c>
      <c r="H37" s="385">
        <f t="shared" si="3"/>
        <v>145861</v>
      </c>
      <c r="I37" s="387">
        <f t="shared" si="4"/>
        <v>28.38022153776707</v>
      </c>
      <c r="J37" s="388">
        <v>513953</v>
      </c>
    </row>
    <row r="38" spans="1:10" ht="12.75">
      <c r="A38" s="354" t="s">
        <v>204</v>
      </c>
      <c r="B38" s="385">
        <v>710.424</v>
      </c>
      <c r="C38" s="386">
        <f t="shared" si="0"/>
        <v>0.2030955008319087</v>
      </c>
      <c r="D38" s="385">
        <v>242599</v>
      </c>
      <c r="E38" s="387">
        <f t="shared" si="1"/>
        <v>69.35402718140183</v>
      </c>
      <c r="F38" s="385">
        <v>47631</v>
      </c>
      <c r="G38" s="387">
        <f t="shared" si="2"/>
        <v>13.61671593319573</v>
      </c>
      <c r="H38" s="385">
        <f t="shared" si="3"/>
        <v>58857.576</v>
      </c>
      <c r="I38" s="387">
        <f t="shared" si="4"/>
        <v>16.826161384570522</v>
      </c>
      <c r="J38" s="388">
        <v>349798</v>
      </c>
    </row>
    <row r="39" spans="1:10" ht="16.5" customHeight="1">
      <c r="A39" s="355" t="s">
        <v>205</v>
      </c>
      <c r="B39" s="390">
        <v>608.4</v>
      </c>
      <c r="C39" s="391">
        <f t="shared" si="0"/>
        <v>0.23369709261457264</v>
      </c>
      <c r="D39" s="390">
        <v>195053</v>
      </c>
      <c r="E39" s="392">
        <f t="shared" si="1"/>
        <v>74.92327252753162</v>
      </c>
      <c r="F39" s="390">
        <v>48969</v>
      </c>
      <c r="G39" s="392">
        <f t="shared" si="2"/>
        <v>18.809850309406652</v>
      </c>
      <c r="H39" s="390">
        <f t="shared" si="3"/>
        <v>15706.6</v>
      </c>
      <c r="I39" s="392">
        <f t="shared" si="4"/>
        <v>6.033180070447151</v>
      </c>
      <c r="J39" s="393">
        <v>260337</v>
      </c>
    </row>
    <row r="40" spans="1:10" s="398" customFormat="1" ht="16.5" customHeight="1">
      <c r="A40" s="335" t="s">
        <v>206</v>
      </c>
      <c r="B40" s="394">
        <f>SUM(B34:B39)</f>
        <v>4411.446</v>
      </c>
      <c r="C40" s="395">
        <f t="shared" si="0"/>
        <v>0.1915518998455495</v>
      </c>
      <c r="D40" s="394">
        <f>SUM(D34:D39)</f>
        <v>1461100</v>
      </c>
      <c r="E40" s="396">
        <f t="shared" si="1"/>
        <v>63.443252136449665</v>
      </c>
      <c r="F40" s="394">
        <f>SUM(F34:F39)</f>
        <v>291015</v>
      </c>
      <c r="G40" s="396">
        <f t="shared" si="2"/>
        <v>12.63632743856608</v>
      </c>
      <c r="H40" s="394">
        <f t="shared" si="3"/>
        <v>546476.554</v>
      </c>
      <c r="I40" s="396">
        <f t="shared" si="4"/>
        <v>23.7288685251387</v>
      </c>
      <c r="J40" s="397">
        <f>SUM(J34:J39)</f>
        <v>2303003</v>
      </c>
    </row>
    <row r="41" spans="1:10" ht="16.5" customHeight="1">
      <c r="A41" s="362" t="s">
        <v>207</v>
      </c>
      <c r="B41" s="399">
        <v>573</v>
      </c>
      <c r="C41" s="400">
        <f t="shared" si="0"/>
        <v>0.10193299106618706</v>
      </c>
      <c r="D41" s="399">
        <v>367241</v>
      </c>
      <c r="E41" s="401">
        <f t="shared" si="1"/>
        <v>65.32979681001328</v>
      </c>
      <c r="F41" s="399">
        <v>66520</v>
      </c>
      <c r="G41" s="401">
        <f t="shared" si="2"/>
        <v>11.833477427090337</v>
      </c>
      <c r="H41" s="399">
        <f t="shared" si="3"/>
        <v>127800</v>
      </c>
      <c r="I41" s="401">
        <f t="shared" si="4"/>
        <v>22.734792771830204</v>
      </c>
      <c r="J41" s="402">
        <v>562134</v>
      </c>
    </row>
    <row r="42" spans="1:10" s="398" customFormat="1" ht="16.5" customHeight="1">
      <c r="A42" s="335" t="s">
        <v>208</v>
      </c>
      <c r="B42" s="394">
        <f>SUM(B41)</f>
        <v>573</v>
      </c>
      <c r="C42" s="395">
        <f t="shared" si="0"/>
        <v>0.10193299106618706</v>
      </c>
      <c r="D42" s="394">
        <f>SUM(D41)</f>
        <v>367241</v>
      </c>
      <c r="E42" s="396">
        <f t="shared" si="1"/>
        <v>65.32979681001328</v>
      </c>
      <c r="F42" s="394">
        <f>SUM(F41)</f>
        <v>66520</v>
      </c>
      <c r="G42" s="396">
        <f t="shared" si="2"/>
        <v>11.833477427090337</v>
      </c>
      <c r="H42" s="394">
        <f t="shared" si="3"/>
        <v>127800</v>
      </c>
      <c r="I42" s="396">
        <f t="shared" si="4"/>
        <v>22.734792771830204</v>
      </c>
      <c r="J42" s="397">
        <f>SUM(J41)</f>
        <v>562134</v>
      </c>
    </row>
    <row r="43" spans="1:10" s="398" customFormat="1" ht="16.5" customHeight="1">
      <c r="A43" s="357" t="s">
        <v>209</v>
      </c>
      <c r="B43" s="380">
        <v>1203.2</v>
      </c>
      <c r="C43" s="381">
        <f t="shared" si="0"/>
        <v>0.19515834718786748</v>
      </c>
      <c r="D43" s="380">
        <v>195439</v>
      </c>
      <c r="E43" s="382">
        <f t="shared" si="1"/>
        <v>31.70009326466891</v>
      </c>
      <c r="F43" s="380">
        <v>173051</v>
      </c>
      <c r="G43" s="382">
        <f t="shared" si="2"/>
        <v>28.068772555857425</v>
      </c>
      <c r="H43" s="390">
        <f t="shared" si="3"/>
        <v>246831.8</v>
      </c>
      <c r="I43" s="382">
        <f t="shared" si="4"/>
        <v>40.03597583228579</v>
      </c>
      <c r="J43" s="383">
        <v>616525</v>
      </c>
    </row>
    <row r="44" spans="1:10" s="398" customFormat="1" ht="16.5" customHeight="1">
      <c r="A44" s="358" t="s">
        <v>210</v>
      </c>
      <c r="B44" s="385">
        <v>235</v>
      </c>
      <c r="C44" s="386">
        <f t="shared" si="0"/>
        <v>0.04384761926085975</v>
      </c>
      <c r="D44" s="385">
        <v>169399</v>
      </c>
      <c r="E44" s="387">
        <f t="shared" si="1"/>
        <v>31.60741640498034</v>
      </c>
      <c r="F44" s="385">
        <v>64668</v>
      </c>
      <c r="G44" s="387">
        <f t="shared" si="2"/>
        <v>12.066118478133099</v>
      </c>
      <c r="H44" s="390">
        <f t="shared" si="3"/>
        <v>301645</v>
      </c>
      <c r="I44" s="387">
        <f t="shared" si="4"/>
        <v>56.2826174976257</v>
      </c>
      <c r="J44" s="403">
        <v>535947</v>
      </c>
    </row>
    <row r="45" spans="1:10" s="398" customFormat="1" ht="25.5">
      <c r="A45" s="365" t="s">
        <v>211</v>
      </c>
      <c r="B45" s="385">
        <v>1071.6</v>
      </c>
      <c r="C45" s="386">
        <f t="shared" si="0"/>
        <v>0.9124892495550806</v>
      </c>
      <c r="D45" s="385">
        <v>45512</v>
      </c>
      <c r="E45" s="387">
        <f t="shared" si="1"/>
        <v>38.754395974011594</v>
      </c>
      <c r="F45" s="385">
        <v>31366</v>
      </c>
      <c r="G45" s="387">
        <f t="shared" si="2"/>
        <v>26.708788541941637</v>
      </c>
      <c r="H45" s="390">
        <f t="shared" si="3"/>
        <v>39487.4</v>
      </c>
      <c r="I45" s="387">
        <f t="shared" si="4"/>
        <v>33.62432623449168</v>
      </c>
      <c r="J45" s="403">
        <v>117437</v>
      </c>
    </row>
    <row r="46" spans="1:10" s="398" customFormat="1" ht="16.5" customHeight="1">
      <c r="A46" s="355" t="s">
        <v>212</v>
      </c>
      <c r="B46" s="390">
        <v>282</v>
      </c>
      <c r="C46" s="391">
        <f t="shared" si="0"/>
        <v>0.07169534056557962</v>
      </c>
      <c r="D46" s="390">
        <v>61231</v>
      </c>
      <c r="E46" s="392">
        <f t="shared" si="1"/>
        <v>15.567295738195059</v>
      </c>
      <c r="F46" s="390">
        <v>182524</v>
      </c>
      <c r="G46" s="392">
        <f t="shared" si="2"/>
        <v>46.40468206167325</v>
      </c>
      <c r="H46" s="390">
        <f t="shared" si="3"/>
        <v>149294</v>
      </c>
      <c r="I46" s="392">
        <f t="shared" si="4"/>
        <v>37.95632685956611</v>
      </c>
      <c r="J46" s="404">
        <v>393331</v>
      </c>
    </row>
    <row r="47" spans="1:10" s="398" customFormat="1" ht="16.5" customHeight="1">
      <c r="A47" s="335" t="s">
        <v>213</v>
      </c>
      <c r="B47" s="394">
        <f>SUM(B43:B46)</f>
        <v>2791.8</v>
      </c>
      <c r="C47" s="405">
        <f t="shared" si="0"/>
        <v>0.16785310598590705</v>
      </c>
      <c r="D47" s="394">
        <f>SUM(D43:D46)</f>
        <v>471581</v>
      </c>
      <c r="E47" s="406">
        <f t="shared" si="1"/>
        <v>28.353154084798344</v>
      </c>
      <c r="F47" s="394">
        <f>SUM(F43:F46)</f>
        <v>451609</v>
      </c>
      <c r="G47" s="406">
        <f t="shared" si="2"/>
        <v>27.152365262980688</v>
      </c>
      <c r="H47" s="394">
        <f>SUM(H43:H46)</f>
        <v>737258.2000000001</v>
      </c>
      <c r="I47" s="406">
        <f t="shared" si="4"/>
        <v>44.326627546235066</v>
      </c>
      <c r="J47" s="397">
        <f>SUM(J43:J46)</f>
        <v>1663240</v>
      </c>
    </row>
    <row r="48" spans="1:10" s="412" customFormat="1" ht="24" customHeight="1">
      <c r="A48" s="407" t="s">
        <v>37</v>
      </c>
      <c r="B48" s="408">
        <f>SUM(B42,B40,B33,B27,B12,B47)</f>
        <v>45863.00000000001</v>
      </c>
      <c r="C48" s="409">
        <f t="shared" si="0"/>
        <v>0.43453017437485664</v>
      </c>
      <c r="D48" s="408">
        <f>SUM(D42,D40,D33,D27,D12,D47)</f>
        <v>5566845</v>
      </c>
      <c r="E48" s="410">
        <f t="shared" si="1"/>
        <v>52.74321628693714</v>
      </c>
      <c r="F48" s="408">
        <f>SUM(F42,F40,F33,F27,F12,F47)</f>
        <v>1355312</v>
      </c>
      <c r="G48" s="410">
        <f t="shared" si="2"/>
        <v>12.840938440405896</v>
      </c>
      <c r="H48" s="408">
        <f>SUM(H42,H40,H33,H27,H12,H47)</f>
        <v>3586598.0000000005</v>
      </c>
      <c r="I48" s="410">
        <f t="shared" si="4"/>
        <v>33.9813150982821</v>
      </c>
      <c r="J48" s="411">
        <f>SUM(J42,J40,J33,J27,J12,J47)</f>
        <v>10554618</v>
      </c>
    </row>
    <row r="49" spans="2:4" ht="16.5" customHeight="1">
      <c r="B49" s="374">
        <v>45863</v>
      </c>
      <c r="D49" s="374">
        <v>5566845</v>
      </c>
    </row>
    <row r="50" spans="1:4" ht="16.5" customHeight="1">
      <c r="A50" s="413"/>
      <c r="D50" s="374">
        <f>D48-D49</f>
        <v>0</v>
      </c>
    </row>
  </sheetData>
  <mergeCells count="15">
    <mergeCell ref="A2:J2"/>
    <mergeCell ref="A3:J3"/>
    <mergeCell ref="A5:A7"/>
    <mergeCell ref="B5:E5"/>
    <mergeCell ref="F5:G5"/>
    <mergeCell ref="H5:I5"/>
    <mergeCell ref="J5:J7"/>
    <mergeCell ref="B6:B7"/>
    <mergeCell ref="C6:C7"/>
    <mergeCell ref="D6:D7"/>
    <mergeCell ref="I6:I7"/>
    <mergeCell ref="E6:E7"/>
    <mergeCell ref="F6:F7"/>
    <mergeCell ref="G6:G7"/>
    <mergeCell ref="H6:H7"/>
  </mergeCells>
  <printOptions horizontalCentered="1"/>
  <pageMargins left="0.1968503937007874" right="0.1968503937007874" top="0.18" bottom="0.51" header="0.17" footer="0.5118110236220472"/>
  <pageSetup horizontalDpi="600" verticalDpi="600" orientation="landscape" paperSize="9" scale="95" r:id="rId1"/>
  <rowBreaks count="1" manualBreakCount="1">
    <brk id="33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2:J54"/>
  <sheetViews>
    <sheetView workbookViewId="0" topLeftCell="A1">
      <pane xSplit="1" ySplit="7" topLeftCell="B8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9.140625" defaultRowHeight="16.5" customHeight="1"/>
  <cols>
    <col min="1" max="1" width="50.28125" style="583" customWidth="1"/>
    <col min="2" max="2" width="12.57421875" style="584" customWidth="1"/>
    <col min="3" max="3" width="9.7109375" style="585" customWidth="1"/>
    <col min="4" max="4" width="11.8515625" style="584" customWidth="1"/>
    <col min="5" max="5" width="9.7109375" style="585" customWidth="1"/>
    <col min="6" max="6" width="12.00390625" style="584" customWidth="1"/>
    <col min="7" max="7" width="9.7109375" style="585" customWidth="1"/>
    <col min="8" max="8" width="11.8515625" style="584" customWidth="1"/>
    <col min="9" max="9" width="9.7109375" style="585" customWidth="1"/>
    <col min="10" max="10" width="13.28125" style="584" customWidth="1"/>
    <col min="11" max="16384" width="10.28125" style="583" customWidth="1"/>
  </cols>
  <sheetData>
    <row r="2" spans="1:10" ht="16.5" customHeight="1">
      <c r="A2" s="922" t="s">
        <v>164</v>
      </c>
      <c r="B2" s="922"/>
      <c r="C2" s="922"/>
      <c r="D2" s="922"/>
      <c r="E2" s="922"/>
      <c r="F2" s="922"/>
      <c r="G2" s="922"/>
      <c r="H2" s="922"/>
      <c r="I2" s="922"/>
      <c r="J2" s="923"/>
    </row>
    <row r="3" spans="1:10" ht="16.5" customHeight="1">
      <c r="A3" s="922" t="s">
        <v>334</v>
      </c>
      <c r="B3" s="922"/>
      <c r="C3" s="922"/>
      <c r="D3" s="922"/>
      <c r="E3" s="922"/>
      <c r="F3" s="922"/>
      <c r="G3" s="922"/>
      <c r="H3" s="922"/>
      <c r="I3" s="922"/>
      <c r="J3" s="922"/>
    </row>
    <row r="4" spans="6:10" ht="16.5" customHeight="1">
      <c r="F4" s="586"/>
      <c r="H4" s="587"/>
      <c r="I4" s="588"/>
      <c r="J4" s="588" t="s">
        <v>335</v>
      </c>
    </row>
    <row r="5" spans="1:10" ht="17.25" customHeight="1">
      <c r="A5" s="924" t="s">
        <v>165</v>
      </c>
      <c r="B5" s="927" t="s">
        <v>166</v>
      </c>
      <c r="C5" s="917"/>
      <c r="D5" s="917"/>
      <c r="E5" s="917"/>
      <c r="F5" s="917" t="s">
        <v>167</v>
      </c>
      <c r="G5" s="918"/>
      <c r="H5" s="919" t="s">
        <v>168</v>
      </c>
      <c r="I5" s="920"/>
      <c r="J5" s="909" t="s">
        <v>169</v>
      </c>
    </row>
    <row r="6" spans="1:10" s="589" customFormat="1" ht="17.25" customHeight="1">
      <c r="A6" s="925"/>
      <c r="B6" s="928" t="s">
        <v>170</v>
      </c>
      <c r="C6" s="896" t="s">
        <v>214</v>
      </c>
      <c r="D6" s="896" t="s">
        <v>172</v>
      </c>
      <c r="E6" s="896" t="s">
        <v>214</v>
      </c>
      <c r="F6" s="898" t="s">
        <v>173</v>
      </c>
      <c r="G6" s="896" t="s">
        <v>214</v>
      </c>
      <c r="H6" s="896" t="s">
        <v>174</v>
      </c>
      <c r="I6" s="896" t="s">
        <v>214</v>
      </c>
      <c r="J6" s="910"/>
    </row>
    <row r="7" spans="1:10" s="589" customFormat="1" ht="17.25" customHeight="1">
      <c r="A7" s="926"/>
      <c r="B7" s="929" t="s">
        <v>175</v>
      </c>
      <c r="C7" s="897"/>
      <c r="D7" s="897" t="s">
        <v>176</v>
      </c>
      <c r="E7" s="897"/>
      <c r="F7" s="899"/>
      <c r="G7" s="897"/>
      <c r="H7" s="897"/>
      <c r="I7" s="897"/>
      <c r="J7" s="921"/>
    </row>
    <row r="8" spans="1:10" ht="16.5" customHeight="1">
      <c r="A8" s="653" t="s">
        <v>303</v>
      </c>
      <c r="B8" s="654">
        <f>2235400/1000</f>
        <v>2235.4</v>
      </c>
      <c r="C8" s="655">
        <f>B8/J8*100</f>
        <v>0.7732941278214996</v>
      </c>
      <c r="D8" s="656">
        <f>129513380/1000</f>
        <v>129513.38</v>
      </c>
      <c r="E8" s="657">
        <f>D8/J8*100</f>
        <v>44.80269134307706</v>
      </c>
      <c r="F8" s="656">
        <v>24033</v>
      </c>
      <c r="G8" s="657">
        <f>(F8/J8)*100</f>
        <v>8.313759404998702</v>
      </c>
      <c r="H8" s="656">
        <f>J8-F8-D8-B8</f>
        <v>133293.22</v>
      </c>
      <c r="I8" s="657">
        <f>H8/J8*100</f>
        <v>46.110255124102736</v>
      </c>
      <c r="J8" s="658">
        <v>289075</v>
      </c>
    </row>
    <row r="9" spans="1:10" ht="16.5" customHeight="1">
      <c r="A9" s="653" t="s">
        <v>304</v>
      </c>
      <c r="B9" s="659">
        <f>2733800/1000</f>
        <v>2733.8</v>
      </c>
      <c r="C9" s="660">
        <f aca="true" t="shared" si="0" ref="C9:C52">B9/J9*100</f>
        <v>0.7895816124355205</v>
      </c>
      <c r="D9" s="661">
        <f>163487460/1000</f>
        <v>163487.46</v>
      </c>
      <c r="E9" s="662">
        <f aca="true" t="shared" si="1" ref="E9:E52">D9/J9*100</f>
        <v>47.21877689654973</v>
      </c>
      <c r="F9" s="661">
        <v>31920</v>
      </c>
      <c r="G9" s="662">
        <f>(F9/J9)*100</f>
        <v>9.219198576685132</v>
      </c>
      <c r="H9" s="661">
        <f>J9-F9-D9-B9</f>
        <v>148092.74000000002</v>
      </c>
      <c r="I9" s="662">
        <f>H9/J9*100</f>
        <v>42.77244291432962</v>
      </c>
      <c r="J9" s="663">
        <v>346234</v>
      </c>
    </row>
    <row r="10" spans="1:10" ht="16.5" customHeight="1">
      <c r="A10" s="653" t="s">
        <v>305</v>
      </c>
      <c r="B10" s="659">
        <f>2413600/1000</f>
        <v>2413.6</v>
      </c>
      <c r="C10" s="660">
        <f t="shared" si="0"/>
        <v>0.800676740367231</v>
      </c>
      <c r="D10" s="661">
        <f>140703820/1000</f>
        <v>140703.82</v>
      </c>
      <c r="E10" s="662">
        <f t="shared" si="1"/>
        <v>46.676448440013935</v>
      </c>
      <c r="F10" s="661">
        <v>34262</v>
      </c>
      <c r="G10" s="662">
        <f aca="true" t="shared" si="2" ref="G10:G52">(F10/J10)*100</f>
        <v>11.365920814742324</v>
      </c>
      <c r="H10" s="661">
        <f aca="true" t="shared" si="3" ref="H10:H50">J10-F10-D10-B10</f>
        <v>124065.57999999999</v>
      </c>
      <c r="I10" s="662">
        <f aca="true" t="shared" si="4" ref="I10:I52">H10/J10*100</f>
        <v>41.1569540048765</v>
      </c>
      <c r="J10" s="663">
        <v>301445</v>
      </c>
    </row>
    <row r="11" spans="1:10" ht="16.5" customHeight="1">
      <c r="A11" s="675" t="s">
        <v>306</v>
      </c>
      <c r="B11" s="686">
        <f>2391000/1000</f>
        <v>2391</v>
      </c>
      <c r="C11" s="667">
        <f t="shared" si="0"/>
        <v>0.7547539079269678</v>
      </c>
      <c r="D11" s="678">
        <f>137178900/1000</f>
        <v>137178.9</v>
      </c>
      <c r="E11" s="668">
        <f t="shared" si="1"/>
        <v>43.302513952372536</v>
      </c>
      <c r="F11" s="678">
        <v>28118</v>
      </c>
      <c r="G11" s="668">
        <f t="shared" si="2"/>
        <v>8.875855450895225</v>
      </c>
      <c r="H11" s="678">
        <f t="shared" si="3"/>
        <v>149104.1</v>
      </c>
      <c r="I11" s="668">
        <f t="shared" si="4"/>
        <v>47.06687668880527</v>
      </c>
      <c r="J11" s="687">
        <v>316792</v>
      </c>
    </row>
    <row r="12" spans="1:10" s="590" customFormat="1" ht="16.5" customHeight="1">
      <c r="A12" s="680" t="s">
        <v>307</v>
      </c>
      <c r="B12" s="681">
        <f>SUM(B8:B11)</f>
        <v>9773.800000000001</v>
      </c>
      <c r="C12" s="695">
        <f t="shared" si="0"/>
        <v>0.7796921692542597</v>
      </c>
      <c r="D12" s="683">
        <f>SUM(D8:D11)</f>
        <v>570883.5599999999</v>
      </c>
      <c r="E12" s="696">
        <f t="shared" si="1"/>
        <v>45.541492693527</v>
      </c>
      <c r="F12" s="683">
        <f>SUM(F8:F11)</f>
        <v>118333</v>
      </c>
      <c r="G12" s="696">
        <f t="shared" si="2"/>
        <v>9.439861002308652</v>
      </c>
      <c r="H12" s="697">
        <f t="shared" si="3"/>
        <v>554555.64</v>
      </c>
      <c r="I12" s="696">
        <f t="shared" si="4"/>
        <v>44.23895413491009</v>
      </c>
      <c r="J12" s="685">
        <f>SUM(J8:J11)</f>
        <v>1253546</v>
      </c>
    </row>
    <row r="13" spans="1:10" ht="16.5" customHeight="1">
      <c r="A13" s="688" t="s">
        <v>336</v>
      </c>
      <c r="B13" s="704">
        <f>5592195/1000</f>
        <v>5592.195</v>
      </c>
      <c r="C13" s="690">
        <f t="shared" si="0"/>
        <v>1.3456167917109816</v>
      </c>
      <c r="D13" s="693">
        <f>220184120/1000</f>
        <v>220184.12</v>
      </c>
      <c r="E13" s="692">
        <f t="shared" si="1"/>
        <v>52.98160188264283</v>
      </c>
      <c r="F13" s="693">
        <v>58502</v>
      </c>
      <c r="G13" s="692">
        <f t="shared" si="2"/>
        <v>14.076990081475316</v>
      </c>
      <c r="H13" s="693">
        <f t="shared" si="3"/>
        <v>131307.685</v>
      </c>
      <c r="I13" s="692">
        <f t="shared" si="4"/>
        <v>31.59579124417088</v>
      </c>
      <c r="J13" s="705">
        <v>415586</v>
      </c>
    </row>
    <row r="14" spans="1:10" ht="16.5" customHeight="1">
      <c r="A14" s="653" t="s">
        <v>181</v>
      </c>
      <c r="B14" s="659">
        <f>3791430/1000</f>
        <v>3791.43</v>
      </c>
      <c r="C14" s="660">
        <f t="shared" si="0"/>
        <v>1.5055394072238635</v>
      </c>
      <c r="D14" s="661">
        <f>175909560/1000</f>
        <v>175909.56</v>
      </c>
      <c r="E14" s="662">
        <f t="shared" si="1"/>
        <v>69.8519489183265</v>
      </c>
      <c r="F14" s="661">
        <v>31880</v>
      </c>
      <c r="G14" s="662">
        <f t="shared" si="2"/>
        <v>12.659233139553352</v>
      </c>
      <c r="H14" s="661">
        <f t="shared" si="3"/>
        <v>40251.01</v>
      </c>
      <c r="I14" s="662">
        <f t="shared" si="4"/>
        <v>15.98327853489628</v>
      </c>
      <c r="J14" s="663">
        <v>251832</v>
      </c>
    </row>
    <row r="15" spans="1:10" ht="16.5" customHeight="1">
      <c r="A15" s="653" t="s">
        <v>182</v>
      </c>
      <c r="B15" s="659">
        <f>2642695/1000</f>
        <v>2642.695</v>
      </c>
      <c r="C15" s="660">
        <f t="shared" si="0"/>
        <v>1.4458575203663482</v>
      </c>
      <c r="D15" s="661">
        <f>120736580/1000</f>
        <v>120736.58</v>
      </c>
      <c r="E15" s="662">
        <f t="shared" si="1"/>
        <v>66.0567686306264</v>
      </c>
      <c r="F15" s="661">
        <v>25504</v>
      </c>
      <c r="G15" s="662">
        <f t="shared" si="2"/>
        <v>13.953615608090733</v>
      </c>
      <c r="H15" s="661">
        <f t="shared" si="3"/>
        <v>33893.725</v>
      </c>
      <c r="I15" s="662">
        <f t="shared" si="4"/>
        <v>18.543758240916524</v>
      </c>
      <c r="J15" s="663">
        <v>182777</v>
      </c>
    </row>
    <row r="16" spans="1:10" ht="16.5" customHeight="1">
      <c r="A16" s="653" t="s">
        <v>183</v>
      </c>
      <c r="B16" s="659">
        <f>2763710/1000</f>
        <v>2763.71</v>
      </c>
      <c r="C16" s="660">
        <f t="shared" si="0"/>
        <v>1.4309212910708184</v>
      </c>
      <c r="D16" s="661">
        <f>129075220/1000</f>
        <v>129075.22</v>
      </c>
      <c r="E16" s="662">
        <f t="shared" si="1"/>
        <v>66.82918267388762</v>
      </c>
      <c r="F16" s="661">
        <v>31331</v>
      </c>
      <c r="G16" s="662">
        <f t="shared" si="2"/>
        <v>16.22174358761947</v>
      </c>
      <c r="H16" s="661">
        <f t="shared" si="3"/>
        <v>29972.07</v>
      </c>
      <c r="I16" s="662">
        <f t="shared" si="4"/>
        <v>15.518152447422104</v>
      </c>
      <c r="J16" s="663">
        <v>193142</v>
      </c>
    </row>
    <row r="17" spans="1:10" ht="16.5" customHeight="1">
      <c r="A17" s="653" t="s">
        <v>184</v>
      </c>
      <c r="B17" s="659">
        <f>3223960/1000</f>
        <v>3223.96</v>
      </c>
      <c r="C17" s="660">
        <f t="shared" si="0"/>
        <v>1.3858090362403876</v>
      </c>
      <c r="D17" s="661">
        <f>144765440/1000</f>
        <v>144765.44</v>
      </c>
      <c r="E17" s="662">
        <f t="shared" si="1"/>
        <v>62.22696773139731</v>
      </c>
      <c r="F17" s="661">
        <v>30136</v>
      </c>
      <c r="G17" s="662">
        <f t="shared" si="2"/>
        <v>12.953864538065089</v>
      </c>
      <c r="H17" s="661">
        <f t="shared" si="3"/>
        <v>54515.6</v>
      </c>
      <c r="I17" s="662">
        <f t="shared" si="4"/>
        <v>23.433358694297223</v>
      </c>
      <c r="J17" s="663">
        <v>232641</v>
      </c>
    </row>
    <row r="18" spans="1:10" ht="16.5" customHeight="1">
      <c r="A18" s="653" t="s">
        <v>240</v>
      </c>
      <c r="B18" s="659">
        <f>1728780/1000</f>
        <v>1728.78</v>
      </c>
      <c r="C18" s="660">
        <f t="shared" si="0"/>
        <v>1.0141732468233389</v>
      </c>
      <c r="D18" s="661">
        <f>79577940/1000</f>
        <v>79577.94</v>
      </c>
      <c r="E18" s="662">
        <f t="shared" si="1"/>
        <v>46.68368316692283</v>
      </c>
      <c r="F18" s="661">
        <v>5697</v>
      </c>
      <c r="G18" s="662">
        <f t="shared" si="2"/>
        <v>3.342093839096104</v>
      </c>
      <c r="H18" s="661">
        <f t="shared" si="3"/>
        <v>83458.28</v>
      </c>
      <c r="I18" s="662">
        <f t="shared" si="4"/>
        <v>48.960049747157726</v>
      </c>
      <c r="J18" s="663">
        <v>170462</v>
      </c>
    </row>
    <row r="19" spans="1:10" ht="16.5" customHeight="1">
      <c r="A19" s="653" t="s">
        <v>337</v>
      </c>
      <c r="B19" s="659">
        <f>2621245/1000</f>
        <v>2621.245</v>
      </c>
      <c r="C19" s="660">
        <f t="shared" si="0"/>
        <v>1.4436712416284807</v>
      </c>
      <c r="D19" s="661">
        <f>122699240/1000</f>
        <v>122699.24</v>
      </c>
      <c r="E19" s="662">
        <f t="shared" si="1"/>
        <v>67.57756873457879</v>
      </c>
      <c r="F19" s="661">
        <v>19637</v>
      </c>
      <c r="G19" s="662">
        <f t="shared" si="2"/>
        <v>10.815231758900246</v>
      </c>
      <c r="H19" s="661">
        <f t="shared" si="3"/>
        <v>36610.51499999999</v>
      </c>
      <c r="I19" s="662">
        <f t="shared" si="4"/>
        <v>20.163528264892488</v>
      </c>
      <c r="J19" s="663">
        <v>181568</v>
      </c>
    </row>
    <row r="20" spans="1:10" ht="16.5" customHeight="1">
      <c r="A20" s="653" t="s">
        <v>338</v>
      </c>
      <c r="B20" s="659">
        <f>5049130/1000</f>
        <v>5049.13</v>
      </c>
      <c r="C20" s="660">
        <f t="shared" si="0"/>
        <v>1.5447472602781636</v>
      </c>
      <c r="D20" s="661">
        <f>214796900/1000</f>
        <v>214796.9</v>
      </c>
      <c r="E20" s="662">
        <f t="shared" si="1"/>
        <v>65.71566245892711</v>
      </c>
      <c r="F20" s="661">
        <v>41664</v>
      </c>
      <c r="G20" s="662">
        <f t="shared" si="2"/>
        <v>12.746819719878358</v>
      </c>
      <c r="H20" s="661">
        <f t="shared" si="3"/>
        <v>65347.97000000001</v>
      </c>
      <c r="I20" s="662">
        <f t="shared" si="4"/>
        <v>19.992770560916366</v>
      </c>
      <c r="J20" s="663">
        <v>326858</v>
      </c>
    </row>
    <row r="21" spans="1:10" ht="16.5" customHeight="1">
      <c r="A21" s="653" t="s">
        <v>313</v>
      </c>
      <c r="B21" s="659">
        <f>1398675/1000</f>
        <v>1398.675</v>
      </c>
      <c r="C21" s="660">
        <f t="shared" si="0"/>
        <v>1.1712430286891422</v>
      </c>
      <c r="D21" s="661">
        <f>55830340/1000</f>
        <v>55830.34</v>
      </c>
      <c r="E21" s="662">
        <f t="shared" si="1"/>
        <v>46.752030682141715</v>
      </c>
      <c r="F21" s="661">
        <v>7400</v>
      </c>
      <c r="G21" s="662">
        <f t="shared" si="2"/>
        <v>6.196720762364133</v>
      </c>
      <c r="H21" s="661">
        <f t="shared" si="3"/>
        <v>54788.985</v>
      </c>
      <c r="I21" s="662">
        <f t="shared" si="4"/>
        <v>45.88000552680501</v>
      </c>
      <c r="J21" s="663">
        <v>119418</v>
      </c>
    </row>
    <row r="22" spans="1:10" ht="16.5" customHeight="1">
      <c r="A22" s="653" t="s">
        <v>188</v>
      </c>
      <c r="B22" s="659">
        <f>1394800/1000</f>
        <v>1394.8</v>
      </c>
      <c r="C22" s="660">
        <f t="shared" si="0"/>
        <v>0.6490792920996421</v>
      </c>
      <c r="D22" s="661">
        <f>128527560/1000</f>
        <v>128527.56</v>
      </c>
      <c r="E22" s="662">
        <f t="shared" si="1"/>
        <v>59.81113970468475</v>
      </c>
      <c r="F22" s="661">
        <v>38080</v>
      </c>
      <c r="G22" s="662">
        <f t="shared" si="2"/>
        <v>17.72077677312473</v>
      </c>
      <c r="H22" s="661">
        <f t="shared" si="3"/>
        <v>46886.64</v>
      </c>
      <c r="I22" s="662">
        <f t="shared" si="4"/>
        <v>21.819004230090883</v>
      </c>
      <c r="J22" s="663">
        <v>214889</v>
      </c>
    </row>
    <row r="23" spans="1:10" ht="16.5" customHeight="1">
      <c r="A23" s="653" t="s">
        <v>339</v>
      </c>
      <c r="B23" s="659">
        <f>2610690/1000</f>
        <v>2610.69</v>
      </c>
      <c r="C23" s="660">
        <f t="shared" si="0"/>
        <v>1.2475461852379268</v>
      </c>
      <c r="D23" s="661">
        <f>117343200/1000</f>
        <v>117343.2</v>
      </c>
      <c r="E23" s="662">
        <f t="shared" si="1"/>
        <v>56.0737052363977</v>
      </c>
      <c r="F23" s="661">
        <v>33320</v>
      </c>
      <c r="G23" s="662">
        <f t="shared" si="2"/>
        <v>15.92231896246882</v>
      </c>
      <c r="H23" s="661">
        <f t="shared" si="3"/>
        <v>55992.11</v>
      </c>
      <c r="I23" s="662">
        <f t="shared" si="4"/>
        <v>26.75642961589556</v>
      </c>
      <c r="J23" s="663">
        <v>209266</v>
      </c>
    </row>
    <row r="24" spans="1:10" ht="16.5" customHeight="1">
      <c r="A24" s="653" t="s">
        <v>340</v>
      </c>
      <c r="B24" s="659">
        <f>4376205/1000</f>
        <v>4376.205</v>
      </c>
      <c r="C24" s="660">
        <f t="shared" si="0"/>
        <v>1.524268378485695</v>
      </c>
      <c r="D24" s="661">
        <f>189146240/1000</f>
        <v>189146.24</v>
      </c>
      <c r="E24" s="662">
        <f t="shared" si="1"/>
        <v>65.88119901637745</v>
      </c>
      <c r="F24" s="661">
        <v>34425</v>
      </c>
      <c r="G24" s="662">
        <f t="shared" si="2"/>
        <v>11.990512082813773</v>
      </c>
      <c r="H24" s="661">
        <f t="shared" si="3"/>
        <v>59154.55500000001</v>
      </c>
      <c r="I24" s="662">
        <f t="shared" si="4"/>
        <v>20.60402052232308</v>
      </c>
      <c r="J24" s="663">
        <v>287102</v>
      </c>
    </row>
    <row r="25" spans="1:10" ht="16.5" customHeight="1">
      <c r="A25" s="653" t="s">
        <v>242</v>
      </c>
      <c r="B25" s="659">
        <f>1946960/1000</f>
        <v>1946.96</v>
      </c>
      <c r="C25" s="660">
        <f t="shared" si="0"/>
        <v>1.5015308680060155</v>
      </c>
      <c r="D25" s="661">
        <f>74017700/1000</f>
        <v>74017.7</v>
      </c>
      <c r="E25" s="662">
        <f t="shared" si="1"/>
        <v>57.083792850807846</v>
      </c>
      <c r="F25" s="661">
        <v>9282</v>
      </c>
      <c r="G25" s="662">
        <f t="shared" si="2"/>
        <v>7.158446766667952</v>
      </c>
      <c r="H25" s="661">
        <f t="shared" si="3"/>
        <v>44418.340000000004</v>
      </c>
      <c r="I25" s="662">
        <f t="shared" si="4"/>
        <v>34.25622951451818</v>
      </c>
      <c r="J25" s="663">
        <v>129665</v>
      </c>
    </row>
    <row r="26" spans="1:10" ht="16.5" customHeight="1">
      <c r="A26" s="653" t="s">
        <v>243</v>
      </c>
      <c r="B26" s="659">
        <f>1797585/1000</f>
        <v>1797.585</v>
      </c>
      <c r="C26" s="660">
        <f t="shared" si="0"/>
        <v>1.456914647885041</v>
      </c>
      <c r="D26" s="661">
        <f>75073260/1000</f>
        <v>75073.26</v>
      </c>
      <c r="E26" s="662">
        <f t="shared" si="1"/>
        <v>60.84570807971924</v>
      </c>
      <c r="F26" s="661">
        <v>14035</v>
      </c>
      <c r="G26" s="662">
        <f t="shared" si="2"/>
        <v>11.375148926513377</v>
      </c>
      <c r="H26" s="661">
        <f t="shared" si="3"/>
        <v>32477.155000000006</v>
      </c>
      <c r="I26" s="662">
        <f t="shared" si="4"/>
        <v>26.322228345882337</v>
      </c>
      <c r="J26" s="663">
        <v>123383</v>
      </c>
    </row>
    <row r="27" spans="1:10" ht="16.5" customHeight="1">
      <c r="A27" s="653" t="s">
        <v>191</v>
      </c>
      <c r="B27" s="659">
        <f>1753915/1000</f>
        <v>1753.915</v>
      </c>
      <c r="C27" s="660">
        <f t="shared" si="0"/>
        <v>1.0296312168318227</v>
      </c>
      <c r="D27" s="661">
        <f>107273320/1000</f>
        <v>107273.32</v>
      </c>
      <c r="E27" s="662">
        <f t="shared" si="1"/>
        <v>62.97452214342742</v>
      </c>
      <c r="F27" s="661">
        <v>16913</v>
      </c>
      <c r="G27" s="662">
        <f t="shared" si="2"/>
        <v>9.928732447283146</v>
      </c>
      <c r="H27" s="661">
        <f t="shared" si="3"/>
        <v>44403.76499999999</v>
      </c>
      <c r="I27" s="662">
        <f t="shared" si="4"/>
        <v>26.067114192457613</v>
      </c>
      <c r="J27" s="663">
        <v>170344</v>
      </c>
    </row>
    <row r="28" spans="1:10" ht="16.5" customHeight="1">
      <c r="A28" s="675" t="s">
        <v>219</v>
      </c>
      <c r="B28" s="686">
        <f>22796000/1000</f>
        <v>22796</v>
      </c>
      <c r="C28" s="667">
        <f t="shared" si="0"/>
        <v>24.331824780121252</v>
      </c>
      <c r="D28" s="678">
        <f>2795000/1000</f>
        <v>2795</v>
      </c>
      <c r="E28" s="668">
        <f t="shared" si="1"/>
        <v>2.9833062932285883</v>
      </c>
      <c r="F28" s="678">
        <v>10267</v>
      </c>
      <c r="G28" s="668">
        <f t="shared" si="2"/>
        <v>10.958714029544872</v>
      </c>
      <c r="H28" s="678">
        <f t="shared" si="3"/>
        <v>57830</v>
      </c>
      <c r="I28" s="668">
        <f t="shared" si="4"/>
        <v>61.72615489710529</v>
      </c>
      <c r="J28" s="687">
        <v>93688</v>
      </c>
    </row>
    <row r="29" spans="1:10" s="590" customFormat="1" ht="16.5" customHeight="1">
      <c r="A29" s="680" t="s">
        <v>341</v>
      </c>
      <c r="B29" s="681">
        <f>SUM(B13:B28)</f>
        <v>65487.975</v>
      </c>
      <c r="C29" s="695">
        <f t="shared" si="0"/>
        <v>1.9829091803146652</v>
      </c>
      <c r="D29" s="683">
        <f>SUM(D13:D28)</f>
        <v>1957751.6199999999</v>
      </c>
      <c r="E29" s="696">
        <f t="shared" si="1"/>
        <v>59.27872498842586</v>
      </c>
      <c r="F29" s="683">
        <f>SUM(F13:F28)</f>
        <v>408073</v>
      </c>
      <c r="G29" s="696">
        <f t="shared" si="2"/>
        <v>12.356034797816644</v>
      </c>
      <c r="H29" s="697">
        <f t="shared" si="3"/>
        <v>871308.4050000001</v>
      </c>
      <c r="I29" s="696">
        <f t="shared" si="4"/>
        <v>26.382331033442835</v>
      </c>
      <c r="J29" s="685">
        <f>SUM(J13:J28)</f>
        <v>3302621</v>
      </c>
    </row>
    <row r="30" spans="1:10" ht="16.5" customHeight="1">
      <c r="A30" s="688" t="s">
        <v>194</v>
      </c>
      <c r="B30" s="704">
        <f>4552740/1000</f>
        <v>4552.74</v>
      </c>
      <c r="C30" s="690">
        <f t="shared" si="0"/>
        <v>2.0483018324642663</v>
      </c>
      <c r="D30" s="693">
        <f>157956120/1000</f>
        <v>157956.12</v>
      </c>
      <c r="E30" s="692">
        <f t="shared" si="1"/>
        <v>71.06529475545398</v>
      </c>
      <c r="F30" s="693">
        <v>26314</v>
      </c>
      <c r="G30" s="692">
        <f t="shared" si="2"/>
        <v>11.838807930930539</v>
      </c>
      <c r="H30" s="693">
        <f t="shared" si="3"/>
        <v>33446.14000000001</v>
      </c>
      <c r="I30" s="692">
        <f t="shared" si="4"/>
        <v>15.047595481151221</v>
      </c>
      <c r="J30" s="705">
        <v>222269</v>
      </c>
    </row>
    <row r="31" spans="1:10" ht="16.5" customHeight="1">
      <c r="A31" s="653" t="s">
        <v>195</v>
      </c>
      <c r="B31" s="659">
        <f>4361895/1000</f>
        <v>4361.895</v>
      </c>
      <c r="C31" s="660">
        <f t="shared" si="0"/>
        <v>1.4754075903125423</v>
      </c>
      <c r="D31" s="661">
        <f>192637280/1000</f>
        <v>192637.28</v>
      </c>
      <c r="E31" s="662">
        <f t="shared" si="1"/>
        <v>65.15941009335678</v>
      </c>
      <c r="F31" s="661">
        <v>30078</v>
      </c>
      <c r="G31" s="662">
        <f t="shared" si="2"/>
        <v>10.17386010012177</v>
      </c>
      <c r="H31" s="661">
        <f t="shared" si="3"/>
        <v>68562.825</v>
      </c>
      <c r="I31" s="662">
        <f t="shared" si="4"/>
        <v>23.191322216208903</v>
      </c>
      <c r="J31" s="663">
        <v>295640</v>
      </c>
    </row>
    <row r="32" spans="1:10" ht="16.5" customHeight="1">
      <c r="A32" s="653" t="s">
        <v>196</v>
      </c>
      <c r="B32" s="659">
        <f>5765500/1000</f>
        <v>5765.5</v>
      </c>
      <c r="C32" s="660">
        <f t="shared" si="0"/>
        <v>1.863686320144815</v>
      </c>
      <c r="D32" s="661">
        <f>202074800/1000</f>
        <v>202074.8</v>
      </c>
      <c r="E32" s="662">
        <f t="shared" si="1"/>
        <v>65.32027411430049</v>
      </c>
      <c r="F32" s="661">
        <v>86682</v>
      </c>
      <c r="G32" s="662">
        <f t="shared" si="2"/>
        <v>28.01978277734678</v>
      </c>
      <c r="H32" s="661">
        <f t="shared" si="3"/>
        <v>14837.700000000012</v>
      </c>
      <c r="I32" s="662">
        <f t="shared" si="4"/>
        <v>4.796256788207917</v>
      </c>
      <c r="J32" s="663">
        <v>309360</v>
      </c>
    </row>
    <row r="33" spans="1:10" ht="16.5" customHeight="1">
      <c r="A33" s="653" t="s">
        <v>245</v>
      </c>
      <c r="B33" s="659">
        <f>5707385/1000</f>
        <v>5707.385</v>
      </c>
      <c r="C33" s="660">
        <f t="shared" si="0"/>
        <v>1.8179048523032038</v>
      </c>
      <c r="D33" s="661">
        <f>213100860/1000</f>
        <v>213100.86</v>
      </c>
      <c r="E33" s="662">
        <f t="shared" si="1"/>
        <v>67.87645960873249</v>
      </c>
      <c r="F33" s="661">
        <v>31085</v>
      </c>
      <c r="G33" s="662">
        <f t="shared" si="2"/>
        <v>9.901132012970052</v>
      </c>
      <c r="H33" s="661">
        <f t="shared" si="3"/>
        <v>64060.75500000001</v>
      </c>
      <c r="I33" s="662">
        <f t="shared" si="4"/>
        <v>20.404503525994258</v>
      </c>
      <c r="J33" s="663">
        <v>313954</v>
      </c>
    </row>
    <row r="34" spans="1:10" ht="16.5" customHeight="1">
      <c r="A34" s="675" t="s">
        <v>246</v>
      </c>
      <c r="B34" s="686">
        <f>1239435/1000</f>
        <v>1239.435</v>
      </c>
      <c r="C34" s="667">
        <f t="shared" si="0"/>
        <v>0.8134750562800679</v>
      </c>
      <c r="D34" s="678">
        <f>58055380/1000</f>
        <v>58055.38</v>
      </c>
      <c r="E34" s="668">
        <f t="shared" si="1"/>
        <v>38.10333217382173</v>
      </c>
      <c r="F34" s="678">
        <v>29073</v>
      </c>
      <c r="G34" s="668">
        <f t="shared" si="2"/>
        <v>19.081404277941495</v>
      </c>
      <c r="H34" s="678">
        <f t="shared" si="3"/>
        <v>63995.185000000005</v>
      </c>
      <c r="I34" s="668">
        <f t="shared" si="4"/>
        <v>42.00178849195671</v>
      </c>
      <c r="J34" s="687">
        <v>152363</v>
      </c>
    </row>
    <row r="35" spans="1:10" s="591" customFormat="1" ht="16.5" customHeight="1">
      <c r="A35" s="680" t="s">
        <v>342</v>
      </c>
      <c r="B35" s="706">
        <f>SUM(B30:B34)</f>
        <v>21626.955</v>
      </c>
      <c r="C35" s="695">
        <f t="shared" si="0"/>
        <v>1.6718606261972535</v>
      </c>
      <c r="D35" s="697">
        <f>SUM(D30:D34)</f>
        <v>823824.44</v>
      </c>
      <c r="E35" s="696">
        <f t="shared" si="1"/>
        <v>63.68532436189012</v>
      </c>
      <c r="F35" s="697">
        <f>SUM(F30:F34)</f>
        <v>203232</v>
      </c>
      <c r="G35" s="696">
        <f t="shared" si="2"/>
        <v>15.710745168856189</v>
      </c>
      <c r="H35" s="697">
        <f t="shared" si="3"/>
        <v>244902.60500000004</v>
      </c>
      <c r="I35" s="696">
        <f t="shared" si="4"/>
        <v>18.932069843056436</v>
      </c>
      <c r="J35" s="707">
        <f>SUM(J30:J34)</f>
        <v>1293586</v>
      </c>
    </row>
    <row r="36" spans="1:10" ht="16.5" customHeight="1">
      <c r="A36" s="688" t="s">
        <v>200</v>
      </c>
      <c r="B36" s="704">
        <f>5168765/1000</f>
        <v>5168.765</v>
      </c>
      <c r="C36" s="690">
        <f t="shared" si="0"/>
        <v>1.9821164244353262</v>
      </c>
      <c r="D36" s="693">
        <f>210283980/1000</f>
        <v>210283.98</v>
      </c>
      <c r="E36" s="692">
        <f t="shared" si="1"/>
        <v>80.63963646124938</v>
      </c>
      <c r="F36" s="693">
        <v>29196</v>
      </c>
      <c r="G36" s="692">
        <f t="shared" si="2"/>
        <v>11.196073167925759</v>
      </c>
      <c r="H36" s="693">
        <f t="shared" si="3"/>
        <v>16121.25499999999</v>
      </c>
      <c r="I36" s="692">
        <f t="shared" si="4"/>
        <v>6.182173946389534</v>
      </c>
      <c r="J36" s="705">
        <v>260770</v>
      </c>
    </row>
    <row r="37" spans="1:10" ht="16.5" customHeight="1">
      <c r="A37" s="653" t="s">
        <v>201</v>
      </c>
      <c r="B37" s="659">
        <f>8191265/1000</f>
        <v>8191.265</v>
      </c>
      <c r="C37" s="660">
        <f t="shared" si="0"/>
        <v>1.3475400909407964</v>
      </c>
      <c r="D37" s="661">
        <f>350469780/1000</f>
        <v>350469.78</v>
      </c>
      <c r="E37" s="662">
        <f t="shared" si="1"/>
        <v>57.655573249455486</v>
      </c>
      <c r="F37" s="661">
        <v>132949</v>
      </c>
      <c r="G37" s="662">
        <f t="shared" si="2"/>
        <v>21.871360229523514</v>
      </c>
      <c r="H37" s="661">
        <f t="shared" si="3"/>
        <v>116257.95499999997</v>
      </c>
      <c r="I37" s="662">
        <f t="shared" si="4"/>
        <v>19.12552643008021</v>
      </c>
      <c r="J37" s="663">
        <v>607868</v>
      </c>
    </row>
    <row r="38" spans="1:10" ht="16.5" customHeight="1">
      <c r="A38" s="653" t="s">
        <v>202</v>
      </c>
      <c r="B38" s="659">
        <f>4561935/1000</f>
        <v>4561.935</v>
      </c>
      <c r="C38" s="660">
        <f t="shared" si="0"/>
        <v>1.5077985563003213</v>
      </c>
      <c r="D38" s="661">
        <f>169308400/1000</f>
        <v>169308.4</v>
      </c>
      <c r="E38" s="662">
        <f t="shared" si="1"/>
        <v>55.959359589629685</v>
      </c>
      <c r="F38" s="661">
        <v>47043</v>
      </c>
      <c r="G38" s="662">
        <f t="shared" si="2"/>
        <v>15.548526553761949</v>
      </c>
      <c r="H38" s="661">
        <f t="shared" si="3"/>
        <v>81642.66500000001</v>
      </c>
      <c r="I38" s="662">
        <f t="shared" si="4"/>
        <v>26.984315300308044</v>
      </c>
      <c r="J38" s="663">
        <v>302556</v>
      </c>
    </row>
    <row r="39" spans="1:10" ht="16.5" customHeight="1">
      <c r="A39" s="653" t="s">
        <v>343</v>
      </c>
      <c r="B39" s="659">
        <f>7405135/1000</f>
        <v>7405.135</v>
      </c>
      <c r="C39" s="660">
        <f t="shared" si="0"/>
        <v>1.4243629914732128</v>
      </c>
      <c r="D39" s="661">
        <f>328028700/1000</f>
        <v>328028.7</v>
      </c>
      <c r="E39" s="662">
        <f t="shared" si="1"/>
        <v>63.09566813043504</v>
      </c>
      <c r="F39" s="661">
        <v>90896</v>
      </c>
      <c r="G39" s="662">
        <f t="shared" si="2"/>
        <v>17.483664845130996</v>
      </c>
      <c r="H39" s="661">
        <f t="shared" si="3"/>
        <v>93561.165</v>
      </c>
      <c r="I39" s="662">
        <f t="shared" si="4"/>
        <v>17.99630403296075</v>
      </c>
      <c r="J39" s="663">
        <v>519891</v>
      </c>
    </row>
    <row r="40" spans="1:10" ht="16.5" customHeight="1">
      <c r="A40" s="653" t="s">
        <v>344</v>
      </c>
      <c r="B40" s="659">
        <f>5600830/1000</f>
        <v>5600.83</v>
      </c>
      <c r="C40" s="660">
        <f t="shared" si="0"/>
        <v>1.655164974806803</v>
      </c>
      <c r="D40" s="661">
        <f>242309580/1000</f>
        <v>242309.58</v>
      </c>
      <c r="E40" s="662">
        <f t="shared" si="1"/>
        <v>71.60765991400328</v>
      </c>
      <c r="F40" s="661">
        <v>44714</v>
      </c>
      <c r="G40" s="662">
        <f t="shared" si="2"/>
        <v>13.213942698405662</v>
      </c>
      <c r="H40" s="661">
        <f t="shared" si="3"/>
        <v>45760.59000000001</v>
      </c>
      <c r="I40" s="662">
        <f t="shared" si="4"/>
        <v>13.523232412784258</v>
      </c>
      <c r="J40" s="663">
        <v>338385</v>
      </c>
    </row>
    <row r="41" spans="1:10" ht="16.5" customHeight="1">
      <c r="A41" s="653" t="s">
        <v>205</v>
      </c>
      <c r="B41" s="659">
        <f>4372860/1000</f>
        <v>4372.86</v>
      </c>
      <c r="C41" s="660">
        <f t="shared" si="0"/>
        <v>1.711551483222501</v>
      </c>
      <c r="D41" s="661">
        <f>196216580/1000</f>
        <v>196216.58</v>
      </c>
      <c r="E41" s="662">
        <f t="shared" si="1"/>
        <v>76.79980116716439</v>
      </c>
      <c r="F41" s="661">
        <v>46356</v>
      </c>
      <c r="G41" s="662">
        <f t="shared" si="2"/>
        <v>18.14388765161982</v>
      </c>
      <c r="H41" s="661">
        <f t="shared" si="3"/>
        <v>8545.560000000012</v>
      </c>
      <c r="I41" s="662">
        <f t="shared" si="4"/>
        <v>3.3447596979932803</v>
      </c>
      <c r="J41" s="663">
        <v>255491</v>
      </c>
    </row>
    <row r="42" spans="1:10" ht="16.5" customHeight="1">
      <c r="A42" s="653" t="s">
        <v>248</v>
      </c>
      <c r="B42" s="659">
        <f>831710/1000</f>
        <v>831.71</v>
      </c>
      <c r="C42" s="660">
        <f t="shared" si="0"/>
        <v>1.0305046525170676</v>
      </c>
      <c r="D42" s="661">
        <f>35479040/1000</f>
        <v>35479.04</v>
      </c>
      <c r="E42" s="662">
        <f t="shared" si="1"/>
        <v>43.95921148818595</v>
      </c>
      <c r="F42" s="661">
        <v>24433</v>
      </c>
      <c r="G42" s="662">
        <f t="shared" si="2"/>
        <v>30.272955928087324</v>
      </c>
      <c r="H42" s="661">
        <f t="shared" si="3"/>
        <v>19965.25</v>
      </c>
      <c r="I42" s="662">
        <f t="shared" si="4"/>
        <v>24.737327931209656</v>
      </c>
      <c r="J42" s="663">
        <v>80709</v>
      </c>
    </row>
    <row r="43" spans="1:10" ht="16.5" customHeight="1">
      <c r="A43" s="675" t="s">
        <v>345</v>
      </c>
      <c r="B43" s="686">
        <f>377600/1000+44</f>
        <v>421.6</v>
      </c>
      <c r="C43" s="667">
        <f t="shared" si="0"/>
        <v>0.49545791075646645</v>
      </c>
      <c r="D43" s="678">
        <f>36832300/1000</f>
        <v>36832.3</v>
      </c>
      <c r="E43" s="668">
        <f t="shared" si="1"/>
        <v>43.284759028357215</v>
      </c>
      <c r="F43" s="678">
        <v>6986</v>
      </c>
      <c r="G43" s="668">
        <f t="shared" si="2"/>
        <v>8.209840997496856</v>
      </c>
      <c r="H43" s="678">
        <f t="shared" si="3"/>
        <v>40853.1</v>
      </c>
      <c r="I43" s="668">
        <f t="shared" si="4"/>
        <v>48.00994206338947</v>
      </c>
      <c r="J43" s="687">
        <v>85093</v>
      </c>
    </row>
    <row r="44" spans="1:10" s="590" customFormat="1" ht="16.5" customHeight="1">
      <c r="A44" s="680" t="s">
        <v>330</v>
      </c>
      <c r="B44" s="681">
        <f>SUM(B36:B43)</f>
        <v>36554.1</v>
      </c>
      <c r="C44" s="695">
        <f t="shared" si="0"/>
        <v>1.4915395735940193</v>
      </c>
      <c r="D44" s="683">
        <f>SUM(D36:D43)</f>
        <v>1568928.3600000003</v>
      </c>
      <c r="E44" s="696">
        <f t="shared" si="1"/>
        <v>64.01795522455662</v>
      </c>
      <c r="F44" s="683">
        <f>SUM(F36:F43)</f>
        <v>422573</v>
      </c>
      <c r="G44" s="696">
        <f t="shared" si="2"/>
        <v>17.242507741466635</v>
      </c>
      <c r="H44" s="697">
        <f t="shared" si="3"/>
        <v>422707.5399999997</v>
      </c>
      <c r="I44" s="696">
        <f t="shared" si="4"/>
        <v>17.247997460382734</v>
      </c>
      <c r="J44" s="685">
        <f>SUM(J36:J43)</f>
        <v>2450763</v>
      </c>
    </row>
    <row r="45" spans="1:10" ht="16.5" customHeight="1">
      <c r="A45" s="698" t="s">
        <v>207</v>
      </c>
      <c r="B45" s="699">
        <f>7337260/1000</f>
        <v>7337.26</v>
      </c>
      <c r="C45" s="700">
        <f t="shared" si="0"/>
        <v>1.4097238099812672</v>
      </c>
      <c r="D45" s="701">
        <f>400975200/1000</f>
        <v>400975.2</v>
      </c>
      <c r="E45" s="702">
        <f t="shared" si="1"/>
        <v>77.04024208655555</v>
      </c>
      <c r="F45" s="701">
        <v>70814</v>
      </c>
      <c r="G45" s="702">
        <f t="shared" si="2"/>
        <v>13.60564868629617</v>
      </c>
      <c r="H45" s="701">
        <f t="shared" si="3"/>
        <v>41348.539999999986</v>
      </c>
      <c r="I45" s="702">
        <f t="shared" si="4"/>
        <v>7.944385417167009</v>
      </c>
      <c r="J45" s="703">
        <v>520475</v>
      </c>
    </row>
    <row r="46" spans="1:10" s="590" customFormat="1" ht="16.5" customHeight="1">
      <c r="A46" s="680" t="s">
        <v>346</v>
      </c>
      <c r="B46" s="681">
        <f>SUM(B45)</f>
        <v>7337.26</v>
      </c>
      <c r="C46" s="695">
        <f t="shared" si="0"/>
        <v>1.4097238099812672</v>
      </c>
      <c r="D46" s="683">
        <f>SUM(D45)</f>
        <v>400975.2</v>
      </c>
      <c r="E46" s="696">
        <f t="shared" si="1"/>
        <v>77.04024208655555</v>
      </c>
      <c r="F46" s="683">
        <f>SUM(F45)</f>
        <v>70814</v>
      </c>
      <c r="G46" s="696">
        <f t="shared" si="2"/>
        <v>13.60564868629617</v>
      </c>
      <c r="H46" s="697">
        <f t="shared" si="3"/>
        <v>41348.539999999986</v>
      </c>
      <c r="I46" s="696">
        <f t="shared" si="4"/>
        <v>7.944385417167009</v>
      </c>
      <c r="J46" s="685">
        <f>SUM(J45)</f>
        <v>520475</v>
      </c>
    </row>
    <row r="47" spans="1:10" s="590" customFormat="1" ht="16.5" customHeight="1">
      <c r="A47" s="688" t="s">
        <v>209</v>
      </c>
      <c r="B47" s="689">
        <v>2300</v>
      </c>
      <c r="C47" s="690">
        <f t="shared" si="0"/>
        <v>0.39334595460787686</v>
      </c>
      <c r="D47" s="691">
        <v>198844</v>
      </c>
      <c r="E47" s="692">
        <f t="shared" si="1"/>
        <v>34.006296955673335</v>
      </c>
      <c r="F47" s="691">
        <f>SUM('[6]2. melléklet'!$K$514,'[6]2. melléklet'!$K$513,'[6]2. melléklet'!$K$512)+3590</f>
        <v>164814</v>
      </c>
      <c r="G47" s="692">
        <f t="shared" si="2"/>
        <v>28.186487027279394</v>
      </c>
      <c r="H47" s="678">
        <f t="shared" si="3"/>
        <v>218769</v>
      </c>
      <c r="I47" s="692">
        <f t="shared" si="4"/>
        <v>37.4138700624394</v>
      </c>
      <c r="J47" s="694">
        <f>SUM('[6]2. melléklet'!$K$541)</f>
        <v>584727</v>
      </c>
    </row>
    <row r="48" spans="1:10" s="590" customFormat="1" ht="16.5" customHeight="1">
      <c r="A48" s="653" t="s">
        <v>210</v>
      </c>
      <c r="B48" s="664">
        <v>2622</v>
      </c>
      <c r="C48" s="660">
        <f t="shared" si="0"/>
        <v>0.5492732917433037</v>
      </c>
      <c r="D48" s="665">
        <v>174095</v>
      </c>
      <c r="E48" s="662">
        <f t="shared" si="1"/>
        <v>36.470531550743885</v>
      </c>
      <c r="F48" s="665">
        <f>SUM('[6]2. melléklet'!$E$557:$E$559)+4881</f>
        <v>49584</v>
      </c>
      <c r="G48" s="662">
        <f t="shared" si="2"/>
        <v>10.38717272990083</v>
      </c>
      <c r="H48" s="678">
        <f t="shared" si="3"/>
        <v>251057</v>
      </c>
      <c r="I48" s="662">
        <f t="shared" si="4"/>
        <v>52.59302242761198</v>
      </c>
      <c r="J48" s="666">
        <f>SUM('[6]2. melléklet'!$E$586)</f>
        <v>477358</v>
      </c>
    </row>
    <row r="49" spans="1:10" s="590" customFormat="1" ht="16.5" customHeight="1">
      <c r="A49" s="653" t="s">
        <v>347</v>
      </c>
      <c r="B49" s="664">
        <v>552</v>
      </c>
      <c r="C49" s="660">
        <f t="shared" si="0"/>
        <v>0.4955072216586925</v>
      </c>
      <c r="D49" s="665">
        <v>46229</v>
      </c>
      <c r="E49" s="662">
        <f t="shared" si="1"/>
        <v>41.49783215590524</v>
      </c>
      <c r="F49" s="665">
        <f>SUM('[6]2. melléklet'!$H$557:$H$559)+1509</f>
        <v>30484</v>
      </c>
      <c r="G49" s="662">
        <f t="shared" si="2"/>
        <v>27.36420678449924</v>
      </c>
      <c r="H49" s="678">
        <f t="shared" si="3"/>
        <v>34136</v>
      </c>
      <c r="I49" s="662">
        <f t="shared" si="4"/>
        <v>30.642453837936824</v>
      </c>
      <c r="J49" s="666">
        <f>SUM('[6]2. melléklet'!$H$586)</f>
        <v>111401</v>
      </c>
    </row>
    <row r="50" spans="1:10" s="590" customFormat="1" ht="16.5" customHeight="1">
      <c r="A50" s="675" t="s">
        <v>212</v>
      </c>
      <c r="B50" s="676">
        <v>736</v>
      </c>
      <c r="C50" s="667">
        <f t="shared" si="0"/>
        <v>0.2898447991367666</v>
      </c>
      <c r="D50" s="677">
        <v>62180</v>
      </c>
      <c r="E50" s="668">
        <f t="shared" si="1"/>
        <v>24.487159796636067</v>
      </c>
      <c r="F50" s="677">
        <f>SUM('[6]2. melléklet'!$K$557:$K$559)+16327</f>
        <v>132376</v>
      </c>
      <c r="G50" s="668">
        <f t="shared" si="2"/>
        <v>52.13110751430518</v>
      </c>
      <c r="H50" s="678">
        <f t="shared" si="3"/>
        <v>58637</v>
      </c>
      <c r="I50" s="668">
        <f>H50/J50*100</f>
        <v>23.091887889921985</v>
      </c>
      <c r="J50" s="679">
        <f>SUM('[6]2. melléklet'!$K$586)</f>
        <v>253929</v>
      </c>
    </row>
    <row r="51" spans="1:10" s="590" customFormat="1" ht="16.5" customHeight="1">
      <c r="A51" s="680" t="s">
        <v>213</v>
      </c>
      <c r="B51" s="681">
        <f>SUM(B47:B50)</f>
        <v>6210</v>
      </c>
      <c r="C51" s="682">
        <f t="shared" si="0"/>
        <v>0.4350521747354483</v>
      </c>
      <c r="D51" s="683">
        <f>SUM(D47:D50)</f>
        <v>481348</v>
      </c>
      <c r="E51" s="684">
        <f t="shared" si="1"/>
        <v>33.72165768189349</v>
      </c>
      <c r="F51" s="683">
        <f>SUM(F47:F50)</f>
        <v>377258</v>
      </c>
      <c r="G51" s="684">
        <f t="shared" si="2"/>
        <v>26.42945464353394</v>
      </c>
      <c r="H51" s="683">
        <f>SUM(H47:H50)</f>
        <v>562599</v>
      </c>
      <c r="I51" s="684">
        <f t="shared" si="4"/>
        <v>39.41383549983712</v>
      </c>
      <c r="J51" s="685">
        <f>SUM(J47:J50)</f>
        <v>1427415</v>
      </c>
    </row>
    <row r="52" spans="1:10" s="592" customFormat="1" ht="24" customHeight="1">
      <c r="A52" s="669" t="s">
        <v>37</v>
      </c>
      <c r="B52" s="670">
        <f>SUM(B46,B44,B35,B29,B12,B51)</f>
        <v>146990.09</v>
      </c>
      <c r="C52" s="671">
        <f t="shared" si="0"/>
        <v>1.4342727054334108</v>
      </c>
      <c r="D52" s="672">
        <f>SUM(D46,D44,D35,D29,D12,D51)</f>
        <v>5803711.18</v>
      </c>
      <c r="E52" s="673">
        <f t="shared" si="1"/>
        <v>56.63037920238523</v>
      </c>
      <c r="F52" s="672">
        <f>SUM(F46,F44,F35,F29,F12,F51)</f>
        <v>1600283</v>
      </c>
      <c r="G52" s="673">
        <f t="shared" si="2"/>
        <v>15.614945387604667</v>
      </c>
      <c r="H52" s="672">
        <f>SUM(H46,H44,H35,H29,H12,H51)</f>
        <v>2697421.73</v>
      </c>
      <c r="I52" s="673">
        <f t="shared" si="4"/>
        <v>26.32040270457669</v>
      </c>
      <c r="J52" s="674">
        <f>SUM(J46,J44,J35,J29,J12,J51)</f>
        <v>10248406</v>
      </c>
    </row>
    <row r="53" spans="2:4" ht="16.5" customHeight="1">
      <c r="B53" s="584">
        <f>'[6]1.b. Kötött állami'!$L$21/1000</f>
        <v>146990.29</v>
      </c>
      <c r="D53" s="584">
        <f>SUM('[6]1.a.a.állami int.bont.'!$M$596)/1000</f>
        <v>5803710.98</v>
      </c>
    </row>
    <row r="54" spans="1:4" ht="16.5" customHeight="1">
      <c r="A54" s="593" t="s">
        <v>348</v>
      </c>
      <c r="B54" s="584">
        <f>B53-B52</f>
        <v>0.20000000001164153</v>
      </c>
      <c r="D54" s="584">
        <f>D53-D52</f>
        <v>-0.19999999925494194</v>
      </c>
    </row>
  </sheetData>
  <mergeCells count="15">
    <mergeCell ref="I6:I7"/>
    <mergeCell ref="E6:E7"/>
    <mergeCell ref="F6:F7"/>
    <mergeCell ref="G6:G7"/>
    <mergeCell ref="H6:H7"/>
    <mergeCell ref="A2:J2"/>
    <mergeCell ref="A3:J3"/>
    <mergeCell ref="A5:A7"/>
    <mergeCell ref="B5:E5"/>
    <mergeCell ref="F5:G5"/>
    <mergeCell ref="H5:I5"/>
    <mergeCell ref="J5:J7"/>
    <mergeCell ref="B6:B7"/>
    <mergeCell ref="C6:C7"/>
    <mergeCell ref="D6:D7"/>
  </mergeCells>
  <printOptions horizontalCentered="1"/>
  <pageMargins left="0.2362204724409449" right="0.2362204724409449" top="0.17" bottom="0.19" header="0.17" footer="0.18"/>
  <pageSetup horizontalDpi="600" verticalDpi="600" orientation="landscape" paperSize="9" scale="96" r:id="rId1"/>
  <rowBreaks count="1" manualBreakCount="1">
    <brk id="35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P77"/>
  <sheetViews>
    <sheetView workbookViewId="0" topLeftCell="A1">
      <pane xSplit="1" ySplit="4" topLeftCell="B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9.140625" defaultRowHeight="12.75"/>
  <cols>
    <col min="1" max="1" width="28.57421875" style="468" customWidth="1"/>
    <col min="2" max="2" width="11.00390625" style="468" customWidth="1"/>
    <col min="3" max="3" width="10.00390625" style="468" customWidth="1"/>
    <col min="4" max="4" width="9.421875" style="468" customWidth="1"/>
    <col min="5" max="5" width="7.57421875" style="468" customWidth="1"/>
    <col min="6" max="6" width="10.00390625" style="468" customWidth="1"/>
    <col min="7" max="7" width="8.140625" style="468" customWidth="1"/>
    <col min="8" max="8" width="10.28125" style="468" customWidth="1"/>
    <col min="9" max="9" width="8.28125" style="468" customWidth="1"/>
    <col min="10" max="10" width="9.57421875" style="468" customWidth="1"/>
    <col min="11" max="11" width="8.140625" style="468" customWidth="1"/>
    <col min="12" max="12" width="7.7109375" style="468" customWidth="1"/>
    <col min="13" max="13" width="11.28125" style="468" customWidth="1"/>
    <col min="14" max="14" width="10.7109375" style="468" customWidth="1"/>
    <col min="15" max="16384" width="8.00390625" style="468" customWidth="1"/>
  </cols>
  <sheetData>
    <row r="1" spans="1:16" ht="12.75">
      <c r="A1" s="930" t="s">
        <v>269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467"/>
      <c r="P1" s="467"/>
    </row>
    <row r="2" spans="1:15" ht="12.75">
      <c r="A2" s="930" t="s">
        <v>270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469"/>
    </row>
    <row r="4" spans="1:14" ht="76.5" customHeight="1">
      <c r="A4" s="470" t="s">
        <v>222</v>
      </c>
      <c r="B4" s="471" t="s">
        <v>271</v>
      </c>
      <c r="C4" s="471" t="s">
        <v>272</v>
      </c>
      <c r="D4" s="471" t="s">
        <v>273</v>
      </c>
      <c r="E4" s="471" t="s">
        <v>274</v>
      </c>
      <c r="F4" s="471" t="s">
        <v>275</v>
      </c>
      <c r="G4" s="471" t="s">
        <v>276</v>
      </c>
      <c r="H4" s="471" t="s">
        <v>277</v>
      </c>
      <c r="I4" s="471" t="s">
        <v>276</v>
      </c>
      <c r="J4" s="471" t="s">
        <v>278</v>
      </c>
      <c r="K4" s="471" t="s">
        <v>276</v>
      </c>
      <c r="L4" s="471" t="s">
        <v>279</v>
      </c>
      <c r="M4" s="471" t="s">
        <v>280</v>
      </c>
      <c r="N4" s="472" t="s">
        <v>276</v>
      </c>
    </row>
    <row r="5" spans="1:14" ht="16.5" customHeight="1">
      <c r="A5" s="473" t="s">
        <v>254</v>
      </c>
      <c r="B5" s="474">
        <v>120511</v>
      </c>
      <c r="C5" s="474">
        <f>B5-D5</f>
        <v>33860</v>
      </c>
      <c r="D5" s="474">
        <v>86651</v>
      </c>
      <c r="E5" s="474">
        <v>0</v>
      </c>
      <c r="F5" s="474"/>
      <c r="G5" s="474"/>
      <c r="H5" s="474"/>
      <c r="I5" s="474"/>
      <c r="J5" s="474"/>
      <c r="K5" s="474"/>
      <c r="L5" s="479">
        <f>'Álláshelyek száma'!E8</f>
        <v>0</v>
      </c>
      <c r="M5" s="474"/>
      <c r="N5" s="475"/>
    </row>
    <row r="6" spans="1:14" ht="16.5" customHeight="1">
      <c r="A6" s="476" t="s">
        <v>255</v>
      </c>
      <c r="B6" s="477">
        <v>554788</v>
      </c>
      <c r="C6" s="477">
        <f>B6-D6</f>
        <v>78591</v>
      </c>
      <c r="D6" s="477">
        <v>476197</v>
      </c>
      <c r="E6" s="477">
        <v>0</v>
      </c>
      <c r="F6" s="477"/>
      <c r="G6" s="477"/>
      <c r="H6" s="477"/>
      <c r="I6" s="477"/>
      <c r="J6" s="478"/>
      <c r="K6" s="477"/>
      <c r="L6" s="479">
        <f>'Álláshelyek száma'!E9</f>
        <v>123</v>
      </c>
      <c r="M6" s="477">
        <f aca="true" t="shared" si="0" ref="M6:M13">D6/L6*1000</f>
        <v>3871520.325203252</v>
      </c>
      <c r="N6" s="480">
        <f>M6-$M$7</f>
        <v>-704479.674796748</v>
      </c>
    </row>
    <row r="7" spans="1:14" ht="20.25" customHeight="1">
      <c r="A7" s="481" t="s">
        <v>256</v>
      </c>
      <c r="B7" s="482">
        <f>SUM(B5:B6)</f>
        <v>675299</v>
      </c>
      <c r="C7" s="483">
        <f>SUM(C5:C6)</f>
        <v>112451</v>
      </c>
      <c r="D7" s="483">
        <f>SUM(D5:D6)</f>
        <v>562848</v>
      </c>
      <c r="E7" s="483">
        <f>SUM(E5:E6)</f>
        <v>0</v>
      </c>
      <c r="F7" s="482"/>
      <c r="G7" s="484"/>
      <c r="H7" s="482"/>
      <c r="I7" s="484"/>
      <c r="J7" s="482"/>
      <c r="K7" s="484"/>
      <c r="L7" s="485">
        <f>SUM(L5:L6)</f>
        <v>123</v>
      </c>
      <c r="M7" s="482">
        <f t="shared" si="0"/>
        <v>4576000</v>
      </c>
      <c r="N7" s="486" t="s">
        <v>281</v>
      </c>
    </row>
    <row r="8" spans="1:14" ht="17.25" customHeight="1">
      <c r="A8" s="487" t="s">
        <v>209</v>
      </c>
      <c r="B8" s="488">
        <v>511180</v>
      </c>
      <c r="C8" s="474">
        <f>B8-D8</f>
        <v>175792</v>
      </c>
      <c r="D8" s="488">
        <v>335388</v>
      </c>
      <c r="E8" s="489">
        <f>'ellátottak '!E7</f>
        <v>300</v>
      </c>
      <c r="F8" s="488">
        <f>B8/E8*1000</f>
        <v>1703933.3333333335</v>
      </c>
      <c r="G8" s="488">
        <f>F8-$F$13</f>
        <v>32286.40850417642</v>
      </c>
      <c r="H8" s="488">
        <f>C8/E8*1000</f>
        <v>585973.3333333334</v>
      </c>
      <c r="I8" s="488">
        <f>H8-$H$13</f>
        <v>47963.082763857325</v>
      </c>
      <c r="J8" s="488">
        <f>D8/E8*1000</f>
        <v>1117960</v>
      </c>
      <c r="K8" s="488">
        <f>J8-$J$13</f>
        <v>-15676.674259681022</v>
      </c>
      <c r="L8" s="494">
        <f>'Álláshelyek száma'!E12</f>
        <v>0</v>
      </c>
      <c r="M8" s="488"/>
      <c r="N8" s="490"/>
    </row>
    <row r="9" spans="1:14" ht="15.75" customHeight="1">
      <c r="A9" s="491" t="s">
        <v>210</v>
      </c>
      <c r="B9" s="492">
        <v>617054</v>
      </c>
      <c r="C9" s="493">
        <f>B9-D9</f>
        <v>192011</v>
      </c>
      <c r="D9" s="492">
        <v>425043</v>
      </c>
      <c r="E9" s="489">
        <f>'ellátottak '!E8</f>
        <v>377</v>
      </c>
      <c r="F9" s="492">
        <f>B9/E9*1000</f>
        <v>1636748.0106100796</v>
      </c>
      <c r="G9" s="492">
        <f>F9-$F$13</f>
        <v>-34898.914219077444</v>
      </c>
      <c r="H9" s="492">
        <f>C9/E9*1000</f>
        <v>509312.9973474801</v>
      </c>
      <c r="I9" s="492">
        <f>H9-$H$13</f>
        <v>-28697.253221995954</v>
      </c>
      <c r="J9" s="492">
        <f>D9/E9*1000</f>
        <v>1127435.0132625995</v>
      </c>
      <c r="K9" s="492">
        <f>J9-$J$13</f>
        <v>-6201.660997081548</v>
      </c>
      <c r="L9" s="494">
        <f>'Álláshelyek száma'!E13</f>
        <v>199</v>
      </c>
      <c r="M9" s="492">
        <f t="shared" si="0"/>
        <v>2135894.472361809</v>
      </c>
      <c r="N9" s="495">
        <f>M9-$M$13</f>
        <v>-1731012.3599363277</v>
      </c>
    </row>
    <row r="10" spans="1:14" ht="39" customHeight="1">
      <c r="A10" s="496" t="s">
        <v>211</v>
      </c>
      <c r="B10" s="492">
        <v>139666</v>
      </c>
      <c r="C10" s="493">
        <f>B10-D10</f>
        <v>37900</v>
      </c>
      <c r="D10" s="492">
        <v>101766</v>
      </c>
      <c r="E10" s="489">
        <f>'ellátottak '!E9</f>
        <v>63</v>
      </c>
      <c r="F10" s="492">
        <f>B10/E10*1000</f>
        <v>2216920.634920635</v>
      </c>
      <c r="G10" s="492">
        <f>F10-$F$13</f>
        <v>545273.7100914777</v>
      </c>
      <c r="H10" s="492">
        <f>C10/E10*1000</f>
        <v>601587.3015873015</v>
      </c>
      <c r="I10" s="492">
        <f>H10-$H$13</f>
        <v>63577.05101782549</v>
      </c>
      <c r="J10" s="492">
        <f>D10/E10*1000</f>
        <v>1615333.3333333333</v>
      </c>
      <c r="K10" s="492">
        <f>J10-$J$13</f>
        <v>481696.65907365223</v>
      </c>
      <c r="L10" s="494">
        <f>'Álláshelyek száma'!E14</f>
        <v>39</v>
      </c>
      <c r="M10" s="492">
        <f t="shared" si="0"/>
        <v>2609384.615384615</v>
      </c>
      <c r="N10" s="495">
        <f>M10-$M$13</f>
        <v>-1257522.2169135218</v>
      </c>
    </row>
    <row r="11" spans="1:14" ht="18" customHeight="1">
      <c r="A11" s="491" t="s">
        <v>212</v>
      </c>
      <c r="B11" s="492">
        <v>199806</v>
      </c>
      <c r="C11" s="493">
        <f>B11-D11</f>
        <v>66670</v>
      </c>
      <c r="D11" s="492">
        <v>133136</v>
      </c>
      <c r="E11" s="489">
        <f>'ellátottak '!E10</f>
        <v>138</v>
      </c>
      <c r="F11" s="492">
        <f>B11/E11*1000</f>
        <v>1447869.5652173914</v>
      </c>
      <c r="G11" s="492">
        <f>F11-$F$13</f>
        <v>-223777.3596117657</v>
      </c>
      <c r="H11" s="492">
        <f>C11/E11*1000</f>
        <v>483115.9420289855</v>
      </c>
      <c r="I11" s="492">
        <f>H11-$H$13</f>
        <v>-54894.30854049057</v>
      </c>
      <c r="J11" s="492">
        <f>D11/E11*1000</f>
        <v>964753.6231884058</v>
      </c>
      <c r="K11" s="492">
        <f>J11-$J$13</f>
        <v>-168883.05107127526</v>
      </c>
      <c r="L11" s="494">
        <f>'Álláshelyek száma'!E15</f>
        <v>0</v>
      </c>
      <c r="M11" s="492"/>
      <c r="N11" s="495"/>
    </row>
    <row r="12" spans="1:14" ht="17.25" customHeight="1">
      <c r="A12" s="497" t="s">
        <v>257</v>
      </c>
      <c r="B12" s="477">
        <v>354794</v>
      </c>
      <c r="C12" s="477">
        <f>B12-D12</f>
        <v>104983</v>
      </c>
      <c r="D12" s="477">
        <v>249811</v>
      </c>
      <c r="E12" s="477">
        <v>0</v>
      </c>
      <c r="F12" s="498"/>
      <c r="G12" s="477"/>
      <c r="H12" s="477"/>
      <c r="I12" s="477"/>
      <c r="J12" s="477"/>
      <c r="K12" s="477"/>
      <c r="L12" s="494">
        <f>'Álláshelyek száma'!E16</f>
        <v>84</v>
      </c>
      <c r="M12" s="498">
        <f t="shared" si="0"/>
        <v>2973940.476190476</v>
      </c>
      <c r="N12" s="499">
        <f>M12-$M$13</f>
        <v>-892966.3561076606</v>
      </c>
    </row>
    <row r="13" spans="1:14" ht="27" customHeight="1">
      <c r="A13" s="428" t="s">
        <v>230</v>
      </c>
      <c r="B13" s="482">
        <f>SUM(B8:B12)</f>
        <v>1822500</v>
      </c>
      <c r="C13" s="483">
        <f>SUM(C8:C12)</f>
        <v>577356</v>
      </c>
      <c r="D13" s="483">
        <f>SUM(D8:D12)</f>
        <v>1245144</v>
      </c>
      <c r="E13" s="482">
        <f>SUM(E8:E12)</f>
        <v>878</v>
      </c>
      <c r="F13" s="482">
        <f>SUM(B8:B11)/E13*1000</f>
        <v>1671646.924829157</v>
      </c>
      <c r="G13" s="484" t="s">
        <v>281</v>
      </c>
      <c r="H13" s="482">
        <f>SUM(C8:C11)/E13*1000</f>
        <v>538010.250569476</v>
      </c>
      <c r="I13" s="484" t="s">
        <v>281</v>
      </c>
      <c r="J13" s="482">
        <f>SUM(D8:D11)/E13*1000</f>
        <v>1133636.674259681</v>
      </c>
      <c r="K13" s="484" t="s">
        <v>281</v>
      </c>
      <c r="L13" s="485">
        <f>SUM(L8:L12)</f>
        <v>322</v>
      </c>
      <c r="M13" s="482">
        <f t="shared" si="0"/>
        <v>3866906.832298137</v>
      </c>
      <c r="N13" s="486" t="s">
        <v>281</v>
      </c>
    </row>
    <row r="14" spans="1:14" ht="18" customHeight="1">
      <c r="A14" s="500" t="s">
        <v>282</v>
      </c>
      <c r="B14" s="482">
        <v>70744</v>
      </c>
      <c r="C14" s="501">
        <f>B14-D14</f>
        <v>-9449</v>
      </c>
      <c r="D14" s="483">
        <v>80193</v>
      </c>
      <c r="E14" s="482">
        <v>0</v>
      </c>
      <c r="F14" s="482"/>
      <c r="G14" s="484"/>
      <c r="H14" s="482"/>
      <c r="I14" s="484"/>
      <c r="J14" s="482"/>
      <c r="K14" s="484"/>
      <c r="L14" s="485">
        <f>'Álláshelyek száma'!E18</f>
        <v>27</v>
      </c>
      <c r="M14" s="482">
        <f>D14/L14*1000</f>
        <v>2970111.1111111115</v>
      </c>
      <c r="N14" s="502">
        <f>M14-$M$16</f>
        <v>247985.47008547047</v>
      </c>
    </row>
    <row r="15" spans="1:14" ht="18" customHeight="1">
      <c r="A15" s="503" t="s">
        <v>236</v>
      </c>
      <c r="B15" s="504">
        <f>666597+181904+171798+189604+169201</f>
        <v>1379104</v>
      </c>
      <c r="C15" s="477">
        <f>B15-D15</f>
        <v>317475</v>
      </c>
      <c r="D15" s="505">
        <f>538007+135761+125161+140868+121832</f>
        <v>1061629</v>
      </c>
      <c r="E15" s="506">
        <f>'ellátottak '!E17</f>
        <v>2416</v>
      </c>
      <c r="F15" s="507">
        <f aca="true" t="shared" si="1" ref="F15:F25">(B15/E15)*1000</f>
        <v>570821.1920529801</v>
      </c>
      <c r="G15" s="507">
        <f>F15-$F$16</f>
        <v>0</v>
      </c>
      <c r="H15" s="507">
        <f aca="true" t="shared" si="2" ref="H15:H25">(C15/E15)*1000</f>
        <v>131405.21523178808</v>
      </c>
      <c r="I15" s="507">
        <f>H15-$H$16</f>
        <v>0</v>
      </c>
      <c r="J15" s="507">
        <f aca="true" t="shared" si="3" ref="J15:J25">(D15/E15)*1000</f>
        <v>439415.976821192</v>
      </c>
      <c r="K15" s="507">
        <f>J15-$J$16</f>
        <v>0</v>
      </c>
      <c r="L15" s="508">
        <f>'Álláshelyek száma'!E24</f>
        <v>390</v>
      </c>
      <c r="M15" s="507">
        <f aca="true" t="shared" si="4" ref="M15:M50">(D15/L15)*1000</f>
        <v>2722125.641025641</v>
      </c>
      <c r="N15" s="509">
        <f>M15-$M$16</f>
        <v>0</v>
      </c>
    </row>
    <row r="16" spans="1:14" ht="18" customHeight="1">
      <c r="A16" s="510" t="s">
        <v>178</v>
      </c>
      <c r="B16" s="483">
        <f>SUM(B15:B15)</f>
        <v>1379104</v>
      </c>
      <c r="C16" s="483">
        <f>SUM(C15:C15)</f>
        <v>317475</v>
      </c>
      <c r="D16" s="483">
        <f>SUM(D15:D15)</f>
        <v>1061629</v>
      </c>
      <c r="E16" s="483">
        <f>SUM(E15)</f>
        <v>2416</v>
      </c>
      <c r="F16" s="483">
        <f t="shared" si="1"/>
        <v>570821.1920529801</v>
      </c>
      <c r="G16" s="484" t="s">
        <v>281</v>
      </c>
      <c r="H16" s="483">
        <f t="shared" si="2"/>
        <v>131405.21523178808</v>
      </c>
      <c r="I16" s="484" t="s">
        <v>281</v>
      </c>
      <c r="J16" s="483">
        <f t="shared" si="3"/>
        <v>439415.976821192</v>
      </c>
      <c r="K16" s="484" t="s">
        <v>281</v>
      </c>
      <c r="L16" s="511">
        <f>SUM(L15:L15)</f>
        <v>390</v>
      </c>
      <c r="M16" s="483">
        <f t="shared" si="4"/>
        <v>2722125.641025641</v>
      </c>
      <c r="N16" s="486" t="s">
        <v>281</v>
      </c>
    </row>
    <row r="17" spans="1:14" ht="36">
      <c r="A17" s="512" t="s">
        <v>237</v>
      </c>
      <c r="B17" s="513">
        <v>384921</v>
      </c>
      <c r="C17" s="474">
        <f aca="true" t="shared" si="5" ref="C17:C30">B17-D17</f>
        <v>96133</v>
      </c>
      <c r="D17" s="514">
        <v>288788</v>
      </c>
      <c r="E17" s="515">
        <f>'ellátottak '!E19</f>
        <v>706.3333333333333</v>
      </c>
      <c r="F17" s="514">
        <f t="shared" si="1"/>
        <v>544956.5832940066</v>
      </c>
      <c r="G17" s="514">
        <f aca="true" t="shared" si="6" ref="G17:G29">F17-$F$31</f>
        <v>30207.48662519513</v>
      </c>
      <c r="H17" s="514">
        <f t="shared" si="2"/>
        <v>136101.4629542237</v>
      </c>
      <c r="I17" s="514">
        <f aca="true" t="shared" si="7" ref="I17:I29">H17-$H$31</f>
        <v>11861.696582892735</v>
      </c>
      <c r="J17" s="514">
        <f t="shared" si="3"/>
        <v>408855.12033978297</v>
      </c>
      <c r="K17" s="514">
        <f aca="true" t="shared" si="8" ref="K17:K29">J17-$J$31</f>
        <v>18345.790042302455</v>
      </c>
      <c r="L17" s="516">
        <f>'Álláshelyek száma'!E26</f>
        <v>83</v>
      </c>
      <c r="M17" s="514">
        <f t="shared" si="4"/>
        <v>3479373.493975904</v>
      </c>
      <c r="N17" s="517">
        <f aca="true" t="shared" si="9" ref="N17:N30">M17-$M$31</f>
        <v>280857.31786303595</v>
      </c>
    </row>
    <row r="18" spans="1:14" ht="15.75" customHeight="1">
      <c r="A18" s="518" t="s">
        <v>180</v>
      </c>
      <c r="B18" s="519">
        <v>122331</v>
      </c>
      <c r="C18" s="493">
        <f t="shared" si="5"/>
        <v>11297</v>
      </c>
      <c r="D18" s="520">
        <v>111034</v>
      </c>
      <c r="E18" s="515">
        <f>'ellátottak '!E20</f>
        <v>406.33333333333337</v>
      </c>
      <c r="F18" s="520">
        <f t="shared" si="1"/>
        <v>301060.7054963084</v>
      </c>
      <c r="G18" s="520">
        <f t="shared" si="6"/>
        <v>-213688.39117250312</v>
      </c>
      <c r="H18" s="520">
        <f t="shared" si="2"/>
        <v>27802.296964725185</v>
      </c>
      <c r="I18" s="520">
        <f t="shared" si="7"/>
        <v>-96437.46940660579</v>
      </c>
      <c r="J18" s="520">
        <f t="shared" si="3"/>
        <v>273258.40853158326</v>
      </c>
      <c r="K18" s="520">
        <f t="shared" si="8"/>
        <v>-117250.92176589725</v>
      </c>
      <c r="L18" s="516">
        <f>'Álláshelyek száma'!E27</f>
        <v>35</v>
      </c>
      <c r="M18" s="520">
        <f t="shared" si="4"/>
        <v>3172400</v>
      </c>
      <c r="N18" s="521">
        <f t="shared" si="9"/>
        <v>-26116.17611286789</v>
      </c>
    </row>
    <row r="19" spans="1:14" ht="15.75" customHeight="1">
      <c r="A19" s="522" t="s">
        <v>181</v>
      </c>
      <c r="B19" s="519">
        <v>253428</v>
      </c>
      <c r="C19" s="493">
        <f t="shared" si="5"/>
        <v>61949</v>
      </c>
      <c r="D19" s="520">
        <v>191479</v>
      </c>
      <c r="E19" s="515">
        <f>'ellátottak '!E21</f>
        <v>627</v>
      </c>
      <c r="F19" s="520">
        <f t="shared" si="1"/>
        <v>404191.3875598086</v>
      </c>
      <c r="G19" s="520">
        <f t="shared" si="6"/>
        <v>-110557.7091090029</v>
      </c>
      <c r="H19" s="520">
        <f t="shared" si="2"/>
        <v>98802.23285486443</v>
      </c>
      <c r="I19" s="520">
        <f t="shared" si="7"/>
        <v>-25437.533516466545</v>
      </c>
      <c r="J19" s="520">
        <f t="shared" si="3"/>
        <v>305389.1547049442</v>
      </c>
      <c r="K19" s="520">
        <f t="shared" si="8"/>
        <v>-85120.17559253634</v>
      </c>
      <c r="L19" s="516">
        <f>'Álláshelyek száma'!E28</f>
        <v>60</v>
      </c>
      <c r="M19" s="520">
        <f t="shared" si="4"/>
        <v>3191316.6666666665</v>
      </c>
      <c r="N19" s="521">
        <f t="shared" si="9"/>
        <v>-7199.50944620138</v>
      </c>
    </row>
    <row r="20" spans="1:14" ht="15.75" customHeight="1">
      <c r="A20" s="522" t="s">
        <v>182</v>
      </c>
      <c r="B20" s="519">
        <v>209740</v>
      </c>
      <c r="C20" s="493">
        <f t="shared" si="5"/>
        <v>59573</v>
      </c>
      <c r="D20" s="520">
        <v>150167</v>
      </c>
      <c r="E20" s="515">
        <f>'ellátottak '!E22</f>
        <v>435.66666666666663</v>
      </c>
      <c r="F20" s="520">
        <f t="shared" si="1"/>
        <v>481423.10635042086</v>
      </c>
      <c r="G20" s="520">
        <f t="shared" si="6"/>
        <v>-33325.99031839066</v>
      </c>
      <c r="H20" s="520">
        <f t="shared" si="2"/>
        <v>136739.86228003062</v>
      </c>
      <c r="I20" s="520">
        <f t="shared" si="7"/>
        <v>12500.095908699644</v>
      </c>
      <c r="J20" s="520">
        <f t="shared" si="3"/>
        <v>344683.24407039024</v>
      </c>
      <c r="K20" s="520">
        <f t="shared" si="8"/>
        <v>-45826.08622709027</v>
      </c>
      <c r="L20" s="516">
        <f>'Álláshelyek száma'!E29</f>
        <v>46</v>
      </c>
      <c r="M20" s="520">
        <f t="shared" si="4"/>
        <v>3264500</v>
      </c>
      <c r="N20" s="521">
        <f t="shared" si="9"/>
        <v>65983.82388713211</v>
      </c>
    </row>
    <row r="21" spans="1:14" ht="15.75" customHeight="1">
      <c r="A21" s="522" t="s">
        <v>183</v>
      </c>
      <c r="B21" s="519">
        <v>212257</v>
      </c>
      <c r="C21" s="493">
        <f t="shared" si="5"/>
        <v>54733</v>
      </c>
      <c r="D21" s="520">
        <v>157524</v>
      </c>
      <c r="E21" s="515">
        <f>'ellátottak '!E23</f>
        <v>493.33333333333337</v>
      </c>
      <c r="F21" s="520">
        <f t="shared" si="1"/>
        <v>430250.6756756757</v>
      </c>
      <c r="G21" s="520">
        <f t="shared" si="6"/>
        <v>-84498.42099313583</v>
      </c>
      <c r="H21" s="520">
        <f t="shared" si="2"/>
        <v>110945.27027027025</v>
      </c>
      <c r="I21" s="520">
        <f t="shared" si="7"/>
        <v>-13294.496101060722</v>
      </c>
      <c r="J21" s="520">
        <f t="shared" si="3"/>
        <v>319305.4054054054</v>
      </c>
      <c r="K21" s="520">
        <f t="shared" si="8"/>
        <v>-71203.92489207513</v>
      </c>
      <c r="L21" s="516">
        <f>'Álláshelyek száma'!E30</f>
        <v>49</v>
      </c>
      <c r="M21" s="520">
        <f t="shared" si="4"/>
        <v>3214775.5102040814</v>
      </c>
      <c r="N21" s="521">
        <f t="shared" si="9"/>
        <v>16259.334091213532</v>
      </c>
    </row>
    <row r="22" spans="1:14" ht="41.25" customHeight="1">
      <c r="A22" s="440" t="s">
        <v>239</v>
      </c>
      <c r="B22" s="519">
        <v>269670</v>
      </c>
      <c r="C22" s="493">
        <f t="shared" si="5"/>
        <v>75708</v>
      </c>
      <c r="D22" s="520">
        <v>193962</v>
      </c>
      <c r="E22" s="515">
        <f>'ellátottak '!E24</f>
        <v>496</v>
      </c>
      <c r="F22" s="520">
        <f t="shared" si="1"/>
        <v>543689.5161290324</v>
      </c>
      <c r="G22" s="520">
        <f t="shared" si="6"/>
        <v>28940.419460220844</v>
      </c>
      <c r="H22" s="520">
        <f t="shared" si="2"/>
        <v>152637.09677419355</v>
      </c>
      <c r="I22" s="520">
        <f t="shared" si="7"/>
        <v>28397.33040286257</v>
      </c>
      <c r="J22" s="520">
        <f t="shared" si="3"/>
        <v>391052.4193548387</v>
      </c>
      <c r="K22" s="520">
        <f t="shared" si="8"/>
        <v>543.0890573582146</v>
      </c>
      <c r="L22" s="516">
        <f>'Álláshelyek száma'!E31</f>
        <v>58.1</v>
      </c>
      <c r="M22" s="520">
        <f t="shared" si="4"/>
        <v>3338416.5232358007</v>
      </c>
      <c r="N22" s="521">
        <f t="shared" si="9"/>
        <v>139900.34712293278</v>
      </c>
    </row>
    <row r="23" spans="1:14" ht="15.75" customHeight="1">
      <c r="A23" s="523" t="s">
        <v>240</v>
      </c>
      <c r="B23" s="519">
        <v>187445</v>
      </c>
      <c r="C23" s="493">
        <f t="shared" si="5"/>
        <v>45986</v>
      </c>
      <c r="D23" s="520">
        <v>141459</v>
      </c>
      <c r="E23" s="515">
        <f>'ellátottak '!E25</f>
        <v>247.66666666666669</v>
      </c>
      <c r="F23" s="520">
        <f t="shared" si="1"/>
        <v>756843.8761776581</v>
      </c>
      <c r="G23" s="520">
        <f t="shared" si="6"/>
        <v>242094.77950884658</v>
      </c>
      <c r="H23" s="520">
        <f t="shared" si="2"/>
        <v>185676.98519515476</v>
      </c>
      <c r="I23" s="520">
        <f t="shared" si="7"/>
        <v>61437.21882382379</v>
      </c>
      <c r="J23" s="520">
        <f t="shared" si="3"/>
        <v>571166.8909825033</v>
      </c>
      <c r="K23" s="520">
        <f t="shared" si="8"/>
        <v>180657.5606850228</v>
      </c>
      <c r="L23" s="516">
        <f>'Álláshelyek száma'!E32</f>
        <v>45.4</v>
      </c>
      <c r="M23" s="520">
        <f t="shared" si="4"/>
        <v>3115837.004405286</v>
      </c>
      <c r="N23" s="521">
        <f t="shared" si="9"/>
        <v>-82679.17170758173</v>
      </c>
    </row>
    <row r="24" spans="1:14" ht="15.75" customHeight="1">
      <c r="A24" s="524" t="s">
        <v>186</v>
      </c>
      <c r="B24" s="519">
        <v>180896</v>
      </c>
      <c r="C24" s="493">
        <f t="shared" si="5"/>
        <v>45421</v>
      </c>
      <c r="D24" s="520">
        <v>135475</v>
      </c>
      <c r="E24" s="515">
        <f>'ellátottak '!E26</f>
        <v>482.6666666666667</v>
      </c>
      <c r="F24" s="520">
        <f t="shared" si="1"/>
        <v>374784.5303867403</v>
      </c>
      <c r="G24" s="520">
        <f t="shared" si="6"/>
        <v>-139964.56628207123</v>
      </c>
      <c r="H24" s="520">
        <f t="shared" si="2"/>
        <v>94104.28176795579</v>
      </c>
      <c r="I24" s="520">
        <f t="shared" si="7"/>
        <v>-30135.484603375182</v>
      </c>
      <c r="J24" s="520">
        <f t="shared" si="3"/>
        <v>280680.2486187845</v>
      </c>
      <c r="K24" s="520">
        <f t="shared" si="8"/>
        <v>-109829.08167869603</v>
      </c>
      <c r="L24" s="516">
        <f>'Álláshelyek száma'!E33</f>
        <v>47.6</v>
      </c>
      <c r="M24" s="520">
        <f t="shared" si="4"/>
        <v>2846113.4453781513</v>
      </c>
      <c r="N24" s="521">
        <f t="shared" si="9"/>
        <v>-352402.73073471664</v>
      </c>
    </row>
    <row r="25" spans="1:14" ht="36">
      <c r="A25" s="496" t="s">
        <v>187</v>
      </c>
      <c r="B25" s="519">
        <v>341764</v>
      </c>
      <c r="C25" s="493">
        <f t="shared" si="5"/>
        <v>90508</v>
      </c>
      <c r="D25" s="520">
        <v>251256</v>
      </c>
      <c r="E25" s="515">
        <f>'ellátottak '!E27</f>
        <v>721</v>
      </c>
      <c r="F25" s="520">
        <f t="shared" si="1"/>
        <v>474013.8696255201</v>
      </c>
      <c r="G25" s="520">
        <f t="shared" si="6"/>
        <v>-40735.22704329144</v>
      </c>
      <c r="H25" s="520">
        <f t="shared" si="2"/>
        <v>125531.20665742026</v>
      </c>
      <c r="I25" s="520">
        <f t="shared" si="7"/>
        <v>1291.4402860892878</v>
      </c>
      <c r="J25" s="520">
        <f t="shared" si="3"/>
        <v>348482.6629680999</v>
      </c>
      <c r="K25" s="520">
        <f t="shared" si="8"/>
        <v>-42026.66732938064</v>
      </c>
      <c r="L25" s="516">
        <f>'Álláshelyek száma'!E34</f>
        <v>83.5</v>
      </c>
      <c r="M25" s="520">
        <f t="shared" si="4"/>
        <v>3009053.8922155686</v>
      </c>
      <c r="N25" s="521">
        <f t="shared" si="9"/>
        <v>-189462.28389729932</v>
      </c>
    </row>
    <row r="26" spans="1:14" ht="24">
      <c r="A26" s="496" t="s">
        <v>188</v>
      </c>
      <c r="B26" s="519">
        <v>225385</v>
      </c>
      <c r="C26" s="493">
        <f t="shared" si="5"/>
        <v>31372</v>
      </c>
      <c r="D26" s="520">
        <v>194013</v>
      </c>
      <c r="E26" s="515">
        <f>'ellátottak '!E29</f>
        <v>226.66666666666669</v>
      </c>
      <c r="F26" s="520">
        <f>(B26/E26)*1000</f>
        <v>994345.588235294</v>
      </c>
      <c r="G26" s="520">
        <f t="shared" si="6"/>
        <v>479596.49156648247</v>
      </c>
      <c r="H26" s="520">
        <f>(C26/E26)*1000</f>
        <v>138405.88235294117</v>
      </c>
      <c r="I26" s="520">
        <f t="shared" si="7"/>
        <v>14166.1159816102</v>
      </c>
      <c r="J26" s="520">
        <f>(D26/E26)*1000</f>
        <v>855939.7058823529</v>
      </c>
      <c r="K26" s="520">
        <f t="shared" si="8"/>
        <v>465430.3755848724</v>
      </c>
      <c r="L26" s="525">
        <f>'Álláshelyek száma'!E36</f>
        <v>74.5</v>
      </c>
      <c r="M26" s="520">
        <f t="shared" si="4"/>
        <v>2604201.342281879</v>
      </c>
      <c r="N26" s="521">
        <f t="shared" si="9"/>
        <v>-594314.833830989</v>
      </c>
    </row>
    <row r="27" spans="1:14" ht="29.25" customHeight="1">
      <c r="A27" s="526" t="s">
        <v>189</v>
      </c>
      <c r="B27" s="519">
        <v>235223</v>
      </c>
      <c r="C27" s="493">
        <f t="shared" si="5"/>
        <v>58220</v>
      </c>
      <c r="D27" s="520">
        <v>177003</v>
      </c>
      <c r="E27" s="515">
        <f>'ellátottak '!E30</f>
        <v>361.6666666666667</v>
      </c>
      <c r="F27" s="520">
        <f>(B27/E27)*1000</f>
        <v>650386.1751152073</v>
      </c>
      <c r="G27" s="520">
        <f t="shared" si="6"/>
        <v>135637.0784463958</v>
      </c>
      <c r="H27" s="520">
        <f>(C27/E27)*1000</f>
        <v>160976.95852534563</v>
      </c>
      <c r="I27" s="520">
        <f t="shared" si="7"/>
        <v>36737.19215401466</v>
      </c>
      <c r="J27" s="520">
        <f>(D27/E27)*1000</f>
        <v>489409.2165898617</v>
      </c>
      <c r="K27" s="520">
        <f t="shared" si="8"/>
        <v>98899.88629238121</v>
      </c>
      <c r="L27" s="525">
        <f>'Álláshelyek száma'!E37</f>
        <v>49.5</v>
      </c>
      <c r="M27" s="520">
        <f t="shared" si="4"/>
        <v>3575818.181818182</v>
      </c>
      <c r="N27" s="521">
        <f t="shared" si="9"/>
        <v>377302.0057053142</v>
      </c>
    </row>
    <row r="28" spans="1:14" ht="36">
      <c r="A28" s="496" t="s">
        <v>190</v>
      </c>
      <c r="B28" s="519">
        <v>295006</v>
      </c>
      <c r="C28" s="493">
        <f t="shared" si="5"/>
        <v>84435</v>
      </c>
      <c r="D28" s="520">
        <v>210571</v>
      </c>
      <c r="E28" s="515">
        <f>'ellátottak '!E31</f>
        <v>654.3333333333334</v>
      </c>
      <c r="F28" s="520">
        <f>(B28/E28)*1000</f>
        <v>450849.7198166072</v>
      </c>
      <c r="G28" s="520">
        <f t="shared" si="6"/>
        <v>-63899.376852204325</v>
      </c>
      <c r="H28" s="520">
        <f>(C28/E28)*1000</f>
        <v>129039.73509933775</v>
      </c>
      <c r="I28" s="520">
        <f t="shared" si="7"/>
        <v>4799.968728006774</v>
      </c>
      <c r="J28" s="520">
        <f>(D28/E28)*1000</f>
        <v>321809.9847172695</v>
      </c>
      <c r="K28" s="520">
        <f t="shared" si="8"/>
        <v>-68699.34558021103</v>
      </c>
      <c r="L28" s="525">
        <f>'Álláshelyek száma'!E38</f>
        <v>65.9</v>
      </c>
      <c r="M28" s="520">
        <f t="shared" si="4"/>
        <v>3195311.0773899844</v>
      </c>
      <c r="N28" s="521">
        <f t="shared" si="9"/>
        <v>-3205.0987228835</v>
      </c>
    </row>
    <row r="29" spans="1:14" ht="15.75" customHeight="1">
      <c r="A29" s="518" t="s">
        <v>191</v>
      </c>
      <c r="B29" s="519">
        <v>412911</v>
      </c>
      <c r="C29" s="493">
        <f t="shared" si="5"/>
        <v>102970</v>
      </c>
      <c r="D29" s="520">
        <v>309941</v>
      </c>
      <c r="E29" s="515">
        <f>'ellátottak '!E32</f>
        <v>875.6666666666666</v>
      </c>
      <c r="F29" s="520">
        <f>(B29/E29)*1000</f>
        <v>471539.0178911306</v>
      </c>
      <c r="G29" s="520">
        <f t="shared" si="6"/>
        <v>-43210.07877768093</v>
      </c>
      <c r="H29" s="520">
        <f>(C29/E29)*1000</f>
        <v>117590.40730871717</v>
      </c>
      <c r="I29" s="520">
        <f t="shared" si="7"/>
        <v>-6649.359062613803</v>
      </c>
      <c r="J29" s="520">
        <f>(D29/E29)*1000</f>
        <v>353948.61058241344</v>
      </c>
      <c r="K29" s="520">
        <f t="shared" si="8"/>
        <v>-36560.71971506707</v>
      </c>
      <c r="L29" s="525">
        <f>'Álláshelyek száma'!E39</f>
        <v>94.2</v>
      </c>
      <c r="M29" s="520">
        <f t="shared" si="4"/>
        <v>3290244.161358811</v>
      </c>
      <c r="N29" s="521">
        <f t="shared" si="9"/>
        <v>91727.98524594307</v>
      </c>
    </row>
    <row r="30" spans="1:14" ht="18" customHeight="1">
      <c r="A30" s="527" t="s">
        <v>261</v>
      </c>
      <c r="B30" s="528">
        <v>135515</v>
      </c>
      <c r="C30" s="477">
        <f t="shared" si="5"/>
        <v>18367</v>
      </c>
      <c r="D30" s="507">
        <v>117148</v>
      </c>
      <c r="E30" s="529"/>
      <c r="F30" s="507"/>
      <c r="G30" s="507"/>
      <c r="H30" s="507"/>
      <c r="I30" s="507"/>
      <c r="J30" s="507"/>
      <c r="K30" s="507"/>
      <c r="L30" s="525">
        <f>'Álláshelyek száma'!E42</f>
        <v>30.5</v>
      </c>
      <c r="M30" s="507">
        <f t="shared" si="4"/>
        <v>3840918.0327868853</v>
      </c>
      <c r="N30" s="509">
        <f t="shared" si="9"/>
        <v>642401.8566740174</v>
      </c>
    </row>
    <row r="31" spans="1:14" ht="18" customHeight="1">
      <c r="A31" s="510" t="s">
        <v>244</v>
      </c>
      <c r="B31" s="483">
        <f>SUM(B17:B30)</f>
        <v>3466492</v>
      </c>
      <c r="C31" s="483">
        <f>SUM(C17:C30)</f>
        <v>836672</v>
      </c>
      <c r="D31" s="483">
        <f>SUM(D17:D30)</f>
        <v>2629820</v>
      </c>
      <c r="E31" s="483">
        <f>SUM(E17:E30)</f>
        <v>6734.333333333334</v>
      </c>
      <c r="F31" s="483">
        <f aca="true" t="shared" si="10" ref="F31:F44">(B31/E31)*1000</f>
        <v>514749.0966688115</v>
      </c>
      <c r="G31" s="484" t="s">
        <v>281</v>
      </c>
      <c r="H31" s="483">
        <f aca="true" t="shared" si="11" ref="H31:H44">(C31/E31)*1000</f>
        <v>124239.76637133097</v>
      </c>
      <c r="I31" s="484" t="s">
        <v>281</v>
      </c>
      <c r="J31" s="483">
        <f aca="true" t="shared" si="12" ref="J31:J44">(D31/E31)*1000</f>
        <v>390509.3302974805</v>
      </c>
      <c r="K31" s="484" t="s">
        <v>281</v>
      </c>
      <c r="L31" s="511">
        <f>SUM(L17:L30)</f>
        <v>822.2</v>
      </c>
      <c r="M31" s="483">
        <f t="shared" si="4"/>
        <v>3198516.176112868</v>
      </c>
      <c r="N31" s="486" t="s">
        <v>281</v>
      </c>
    </row>
    <row r="32" spans="1:14" ht="15" customHeight="1">
      <c r="A32" s="530" t="s">
        <v>194</v>
      </c>
      <c r="B32" s="513">
        <v>251847</v>
      </c>
      <c r="C32" s="474">
        <f aca="true" t="shared" si="13" ref="C32:C43">B32-D32</f>
        <v>45758</v>
      </c>
      <c r="D32" s="514">
        <v>206089</v>
      </c>
      <c r="E32" s="515">
        <f>'ellátottak '!E36</f>
        <v>550</v>
      </c>
      <c r="F32" s="514">
        <f t="shared" si="10"/>
        <v>457903.63636363635</v>
      </c>
      <c r="G32" s="514">
        <f aca="true" t="shared" si="14" ref="G32:G43">F32-$F$44</f>
        <v>-30840.535131061974</v>
      </c>
      <c r="H32" s="514">
        <f t="shared" si="11"/>
        <v>83196.36363636365</v>
      </c>
      <c r="I32" s="514">
        <f aca="true" t="shared" si="15" ref="I32:I43">H32-$H$44</f>
        <v>-37280.05659651272</v>
      </c>
      <c r="J32" s="514">
        <f t="shared" si="12"/>
        <v>374707.2727272727</v>
      </c>
      <c r="K32" s="514">
        <f aca="true" t="shared" si="16" ref="K32:K43">J32-$J$44</f>
        <v>6439.521465450758</v>
      </c>
      <c r="L32" s="531">
        <f>'Álláshelyek száma'!E44</f>
        <v>60.7</v>
      </c>
      <c r="M32" s="514">
        <f t="shared" si="4"/>
        <v>3395205.9308072487</v>
      </c>
      <c r="N32" s="517">
        <f aca="true" t="shared" si="17" ref="N32:N43">M32-$M$44</f>
        <v>52356.41325438442</v>
      </c>
    </row>
    <row r="33" spans="1:14" ht="15" customHeight="1">
      <c r="A33" s="524" t="s">
        <v>195</v>
      </c>
      <c r="B33" s="519">
        <v>319453</v>
      </c>
      <c r="C33" s="493">
        <f t="shared" si="13"/>
        <v>78178</v>
      </c>
      <c r="D33" s="520">
        <v>241275</v>
      </c>
      <c r="E33" s="515">
        <f>'ellátottak '!E37</f>
        <v>528.6666666666667</v>
      </c>
      <c r="F33" s="520">
        <f t="shared" si="10"/>
        <v>604261.6645649432</v>
      </c>
      <c r="G33" s="520">
        <f t="shared" si="14"/>
        <v>115517.49307024485</v>
      </c>
      <c r="H33" s="520">
        <f t="shared" si="11"/>
        <v>147877.6796973518</v>
      </c>
      <c r="I33" s="520">
        <f t="shared" si="15"/>
        <v>27401.259464475428</v>
      </c>
      <c r="J33" s="520">
        <f t="shared" si="12"/>
        <v>456383.98486759135</v>
      </c>
      <c r="K33" s="520">
        <f t="shared" si="16"/>
        <v>88116.2336057694</v>
      </c>
      <c r="L33" s="531">
        <f>'Álláshelyek száma'!E45</f>
        <v>63</v>
      </c>
      <c r="M33" s="520">
        <f t="shared" si="4"/>
        <v>3829761.9047619044</v>
      </c>
      <c r="N33" s="521">
        <f t="shared" si="17"/>
        <v>486912.3872090401</v>
      </c>
    </row>
    <row r="34" spans="1:14" ht="24">
      <c r="A34" s="532" t="s">
        <v>196</v>
      </c>
      <c r="B34" s="519">
        <v>301787</v>
      </c>
      <c r="C34" s="493">
        <f t="shared" si="13"/>
        <v>68740</v>
      </c>
      <c r="D34" s="520">
        <v>233047</v>
      </c>
      <c r="E34" s="515">
        <f>'ellátottak '!E38</f>
        <v>667</v>
      </c>
      <c r="F34" s="520">
        <f t="shared" si="10"/>
        <v>452454.2728635682</v>
      </c>
      <c r="G34" s="520">
        <f t="shared" si="14"/>
        <v>-36289.89863113011</v>
      </c>
      <c r="H34" s="520">
        <f t="shared" si="11"/>
        <v>103058.4707646177</v>
      </c>
      <c r="I34" s="520">
        <f t="shared" si="15"/>
        <v>-17417.949468258666</v>
      </c>
      <c r="J34" s="520">
        <f t="shared" si="12"/>
        <v>349395.80209895055</v>
      </c>
      <c r="K34" s="520">
        <f t="shared" si="16"/>
        <v>-18871.949162871402</v>
      </c>
      <c r="L34" s="531">
        <f>'Álláshelyek száma'!E46</f>
        <v>69</v>
      </c>
      <c r="M34" s="520">
        <f t="shared" si="4"/>
        <v>3377492.7536231885</v>
      </c>
      <c r="N34" s="521">
        <f t="shared" si="17"/>
        <v>34643.2360703242</v>
      </c>
    </row>
    <row r="35" spans="1:14" ht="24">
      <c r="A35" s="532" t="s">
        <v>245</v>
      </c>
      <c r="B35" s="519">
        <v>325453</v>
      </c>
      <c r="C35" s="493">
        <f t="shared" si="13"/>
        <v>68712</v>
      </c>
      <c r="D35" s="520">
        <v>256741</v>
      </c>
      <c r="E35" s="515">
        <f>'ellátottak '!E39</f>
        <v>743.6666666666666</v>
      </c>
      <c r="F35" s="520">
        <f t="shared" si="10"/>
        <v>437632.90004482295</v>
      </c>
      <c r="G35" s="520">
        <f t="shared" si="14"/>
        <v>-51111.27144987538</v>
      </c>
      <c r="H35" s="520">
        <f t="shared" si="11"/>
        <v>92396.2348722546</v>
      </c>
      <c r="I35" s="520">
        <f t="shared" si="15"/>
        <v>-28080.185360621763</v>
      </c>
      <c r="J35" s="520">
        <f t="shared" si="12"/>
        <v>345236.6651725684</v>
      </c>
      <c r="K35" s="520">
        <f t="shared" si="16"/>
        <v>-23031.086089253542</v>
      </c>
      <c r="L35" s="531">
        <f>'Álláshelyek száma'!E47</f>
        <v>74.5</v>
      </c>
      <c r="M35" s="520">
        <f t="shared" si="4"/>
        <v>3446187.9194630873</v>
      </c>
      <c r="N35" s="521">
        <f t="shared" si="17"/>
        <v>103338.40191022307</v>
      </c>
    </row>
    <row r="36" spans="1:14" ht="28.5" customHeight="1">
      <c r="A36" s="533" t="s">
        <v>198</v>
      </c>
      <c r="B36" s="519">
        <v>190609</v>
      </c>
      <c r="C36" s="493">
        <f t="shared" si="13"/>
        <v>33901</v>
      </c>
      <c r="D36" s="520">
        <v>156708</v>
      </c>
      <c r="E36" s="515">
        <f>'ellátottak '!E40</f>
        <v>365.3666666666667</v>
      </c>
      <c r="F36" s="520">
        <f t="shared" si="10"/>
        <v>521692.3638354165</v>
      </c>
      <c r="G36" s="520">
        <f t="shared" si="14"/>
        <v>32948.192340718175</v>
      </c>
      <c r="H36" s="520">
        <f t="shared" si="11"/>
        <v>92786.24213119241</v>
      </c>
      <c r="I36" s="520">
        <f t="shared" si="15"/>
        <v>-27690.178101683952</v>
      </c>
      <c r="J36" s="520">
        <f t="shared" si="12"/>
        <v>428906.1217042241</v>
      </c>
      <c r="K36" s="520">
        <f t="shared" si="16"/>
        <v>60638.37044240214</v>
      </c>
      <c r="L36" s="531">
        <f>'Álláshelyek száma'!E48</f>
        <v>45.15</v>
      </c>
      <c r="M36" s="520">
        <f t="shared" si="4"/>
        <v>3470830.5647840532</v>
      </c>
      <c r="N36" s="521">
        <f t="shared" si="17"/>
        <v>127981.04723118898</v>
      </c>
    </row>
    <row r="37" spans="1:14" ht="36">
      <c r="A37" s="758" t="s">
        <v>352</v>
      </c>
      <c r="B37" s="519">
        <v>282084</v>
      </c>
      <c r="C37" s="493">
        <f t="shared" si="13"/>
        <v>53805</v>
      </c>
      <c r="D37" s="520">
        <v>228279</v>
      </c>
      <c r="E37" s="535">
        <f>'ellátottak '!E42</f>
        <v>697</v>
      </c>
      <c r="F37" s="520">
        <f t="shared" si="10"/>
        <v>404711.6212338594</v>
      </c>
      <c r="G37" s="520">
        <f t="shared" si="14"/>
        <v>-84032.55026083894</v>
      </c>
      <c r="H37" s="520">
        <f t="shared" si="11"/>
        <v>77195.12195121951</v>
      </c>
      <c r="I37" s="520">
        <f t="shared" si="15"/>
        <v>-43281.298281656855</v>
      </c>
      <c r="J37" s="520">
        <f t="shared" si="12"/>
        <v>327516.4992826399</v>
      </c>
      <c r="K37" s="520">
        <f t="shared" si="16"/>
        <v>-40751.25197918207</v>
      </c>
      <c r="L37" s="525">
        <f>'Álláshelyek száma'!E50</f>
        <v>69.7</v>
      </c>
      <c r="M37" s="520">
        <f t="shared" si="4"/>
        <v>3275164.992826399</v>
      </c>
      <c r="N37" s="521">
        <f t="shared" si="17"/>
        <v>-67684.52472646534</v>
      </c>
    </row>
    <row r="38" spans="1:14" ht="24">
      <c r="A38" s="536" t="s">
        <v>201</v>
      </c>
      <c r="B38" s="519">
        <v>632915</v>
      </c>
      <c r="C38" s="493">
        <f t="shared" si="13"/>
        <v>161157</v>
      </c>
      <c r="D38" s="520">
        <v>471758</v>
      </c>
      <c r="E38" s="535">
        <f>'ellátottak '!E43</f>
        <v>1198.6666666666667</v>
      </c>
      <c r="F38" s="520">
        <f t="shared" si="10"/>
        <v>528015.850945495</v>
      </c>
      <c r="G38" s="520">
        <f t="shared" si="14"/>
        <v>39271.679450796626</v>
      </c>
      <c r="H38" s="520">
        <f t="shared" si="11"/>
        <v>134446.88542825362</v>
      </c>
      <c r="I38" s="520">
        <f t="shared" si="15"/>
        <v>13970.465195377255</v>
      </c>
      <c r="J38" s="520">
        <f t="shared" si="12"/>
        <v>393568.96551724133</v>
      </c>
      <c r="K38" s="520">
        <f t="shared" si="16"/>
        <v>25301.214255419385</v>
      </c>
      <c r="L38" s="525">
        <f>'Álláshelyek száma'!E51</f>
        <v>133.4</v>
      </c>
      <c r="M38" s="520">
        <f t="shared" si="4"/>
        <v>3536416.791604198</v>
      </c>
      <c r="N38" s="521">
        <f t="shared" si="17"/>
        <v>193567.27405133378</v>
      </c>
    </row>
    <row r="39" spans="1:14" ht="24">
      <c r="A39" s="536" t="s">
        <v>202</v>
      </c>
      <c r="B39" s="519">
        <v>323144</v>
      </c>
      <c r="C39" s="493">
        <f t="shared" si="13"/>
        <v>79429</v>
      </c>
      <c r="D39" s="520">
        <v>243715</v>
      </c>
      <c r="E39" s="535">
        <f>'ellátottak '!E44</f>
        <v>580.3333333333334</v>
      </c>
      <c r="F39" s="520">
        <f t="shared" si="10"/>
        <v>556824.8133256749</v>
      </c>
      <c r="G39" s="520">
        <f t="shared" si="14"/>
        <v>68080.64183097653</v>
      </c>
      <c r="H39" s="520">
        <f t="shared" si="11"/>
        <v>136867.89201608268</v>
      </c>
      <c r="I39" s="520">
        <f t="shared" si="15"/>
        <v>16391.471783206318</v>
      </c>
      <c r="J39" s="520">
        <f t="shared" si="12"/>
        <v>419956.92130959214</v>
      </c>
      <c r="K39" s="520">
        <f t="shared" si="16"/>
        <v>51689.170047770196</v>
      </c>
      <c r="L39" s="525">
        <f>'Álláshelyek száma'!E52</f>
        <v>63.7</v>
      </c>
      <c r="M39" s="520">
        <f t="shared" si="4"/>
        <v>3825981.1616954473</v>
      </c>
      <c r="N39" s="521">
        <f t="shared" si="17"/>
        <v>483131.644142583</v>
      </c>
    </row>
    <row r="40" spans="1:14" ht="36">
      <c r="A40" s="496" t="s">
        <v>203</v>
      </c>
      <c r="B40" s="519">
        <v>491413</v>
      </c>
      <c r="C40" s="493">
        <f t="shared" si="13"/>
        <v>95254</v>
      </c>
      <c r="D40" s="520">
        <v>396159</v>
      </c>
      <c r="E40" s="535">
        <f>'ellátottak '!E45</f>
        <v>1103.6666666666665</v>
      </c>
      <c r="F40" s="520">
        <f t="shared" si="10"/>
        <v>445254.9078828149</v>
      </c>
      <c r="G40" s="520">
        <f t="shared" si="14"/>
        <v>-43489.26361188345</v>
      </c>
      <c r="H40" s="520">
        <f t="shared" si="11"/>
        <v>86306.85593476292</v>
      </c>
      <c r="I40" s="520">
        <f t="shared" si="15"/>
        <v>-34169.564298113444</v>
      </c>
      <c r="J40" s="520">
        <f t="shared" si="12"/>
        <v>358948.051948052</v>
      </c>
      <c r="K40" s="520">
        <f t="shared" si="16"/>
        <v>-9319.699313769932</v>
      </c>
      <c r="L40" s="525">
        <f>'Álláshelyek száma'!E53</f>
        <v>123.4</v>
      </c>
      <c r="M40" s="520">
        <f t="shared" si="4"/>
        <v>3210364.667747163</v>
      </c>
      <c r="N40" s="521">
        <f t="shared" si="17"/>
        <v>-132484.84980570106</v>
      </c>
    </row>
    <row r="41" spans="1:14" ht="24">
      <c r="A41" s="526" t="s">
        <v>204</v>
      </c>
      <c r="B41" s="519">
        <v>377372</v>
      </c>
      <c r="C41" s="493">
        <f t="shared" si="13"/>
        <v>83685</v>
      </c>
      <c r="D41" s="520">
        <v>293687</v>
      </c>
      <c r="E41" s="535">
        <f>'ellátottak '!E46</f>
        <v>883.6666666666666</v>
      </c>
      <c r="F41" s="520">
        <f t="shared" si="10"/>
        <v>427052.4330441343</v>
      </c>
      <c r="G41" s="520">
        <f t="shared" si="14"/>
        <v>-61691.73845056404</v>
      </c>
      <c r="H41" s="520">
        <f t="shared" si="11"/>
        <v>94701.99924556771</v>
      </c>
      <c r="I41" s="520">
        <f t="shared" si="15"/>
        <v>-25774.42098730865</v>
      </c>
      <c r="J41" s="520">
        <f t="shared" si="12"/>
        <v>332350.4337985666</v>
      </c>
      <c r="K41" s="520">
        <f t="shared" si="16"/>
        <v>-35917.31746325537</v>
      </c>
      <c r="L41" s="525">
        <f>'Álláshelyek száma'!E54</f>
        <v>88.9</v>
      </c>
      <c r="M41" s="520">
        <f t="shared" si="4"/>
        <v>3303565.8042744654</v>
      </c>
      <c r="N41" s="521">
        <f t="shared" si="17"/>
        <v>-39283.71327839885</v>
      </c>
    </row>
    <row r="42" spans="1:14" ht="12">
      <c r="A42" s="537" t="s">
        <v>205</v>
      </c>
      <c r="B42" s="519">
        <v>274003</v>
      </c>
      <c r="C42" s="493">
        <f t="shared" si="13"/>
        <v>60194</v>
      </c>
      <c r="D42" s="520">
        <v>213809</v>
      </c>
      <c r="E42" s="535">
        <f>'ellátottak '!E47</f>
        <v>651</v>
      </c>
      <c r="F42" s="520">
        <f t="shared" si="10"/>
        <v>420895.54531490017</v>
      </c>
      <c r="G42" s="520">
        <f t="shared" si="14"/>
        <v>-67848.62617979816</v>
      </c>
      <c r="H42" s="520">
        <f t="shared" si="11"/>
        <v>92463.90168970813</v>
      </c>
      <c r="I42" s="520">
        <f t="shared" si="15"/>
        <v>-28012.518543168233</v>
      </c>
      <c r="J42" s="520">
        <f t="shared" si="12"/>
        <v>328431.643625192</v>
      </c>
      <c r="K42" s="520">
        <f t="shared" si="16"/>
        <v>-39836.10763662995</v>
      </c>
      <c r="L42" s="525">
        <f>'Álláshelyek száma'!E55</f>
        <v>72</v>
      </c>
      <c r="M42" s="520">
        <f t="shared" si="4"/>
        <v>2969569.4444444445</v>
      </c>
      <c r="N42" s="521">
        <f t="shared" si="17"/>
        <v>-373280.0731084198</v>
      </c>
    </row>
    <row r="43" spans="1:14" ht="14.25" customHeight="1">
      <c r="A43" s="538" t="s">
        <v>207</v>
      </c>
      <c r="B43" s="528">
        <v>551901</v>
      </c>
      <c r="C43" s="477">
        <f t="shared" si="13"/>
        <v>236564</v>
      </c>
      <c r="D43" s="507">
        <v>315337</v>
      </c>
      <c r="E43" s="529">
        <f>'ellátottak '!E49</f>
        <v>874</v>
      </c>
      <c r="F43" s="507">
        <f t="shared" si="10"/>
        <v>631465.6750572083</v>
      </c>
      <c r="G43" s="507">
        <f t="shared" si="14"/>
        <v>142721.50356250996</v>
      </c>
      <c r="H43" s="507">
        <f t="shared" si="11"/>
        <v>270668.1922196796</v>
      </c>
      <c r="I43" s="507">
        <f t="shared" si="15"/>
        <v>150191.7719868032</v>
      </c>
      <c r="J43" s="507">
        <f t="shared" si="12"/>
        <v>360797.48283752863</v>
      </c>
      <c r="K43" s="507">
        <f t="shared" si="16"/>
        <v>-7470.268424293317</v>
      </c>
      <c r="L43" s="539">
        <f>'Álláshelyek száma'!E57</f>
        <v>110.75</v>
      </c>
      <c r="M43" s="507">
        <f t="shared" si="4"/>
        <v>2847286.6817155755</v>
      </c>
      <c r="N43" s="509">
        <f t="shared" si="17"/>
        <v>-495562.83583728876</v>
      </c>
    </row>
    <row r="44" spans="1:14" ht="18" customHeight="1">
      <c r="A44" s="500" t="s">
        <v>206</v>
      </c>
      <c r="B44" s="483">
        <f>SUM(B32:B43)</f>
        <v>4321981</v>
      </c>
      <c r="C44" s="483">
        <f>SUM(C32:C43)</f>
        <v>1065377</v>
      </c>
      <c r="D44" s="483">
        <f>SUM(D32:D43)</f>
        <v>3256604</v>
      </c>
      <c r="E44" s="483">
        <f>SUM(E32:E43)</f>
        <v>8843.033333333333</v>
      </c>
      <c r="F44" s="483">
        <f t="shared" si="10"/>
        <v>488744.1714946983</v>
      </c>
      <c r="G44" s="484" t="s">
        <v>281</v>
      </c>
      <c r="H44" s="483">
        <f t="shared" si="11"/>
        <v>120476.42023287636</v>
      </c>
      <c r="I44" s="484" t="s">
        <v>281</v>
      </c>
      <c r="J44" s="483">
        <f t="shared" si="12"/>
        <v>368267.75126182195</v>
      </c>
      <c r="K44" s="484" t="s">
        <v>281</v>
      </c>
      <c r="L44" s="511">
        <f>SUM(L32:L43)</f>
        <v>974.1999999999999</v>
      </c>
      <c r="M44" s="483">
        <f t="shared" si="4"/>
        <v>3342849.5175528643</v>
      </c>
      <c r="N44" s="486" t="s">
        <v>281</v>
      </c>
    </row>
    <row r="45" spans="1:14" ht="18" customHeight="1">
      <c r="A45" s="487" t="s">
        <v>263</v>
      </c>
      <c r="B45" s="513">
        <v>749719</v>
      </c>
      <c r="C45" s="474">
        <f>B45-D45</f>
        <v>581496</v>
      </c>
      <c r="D45" s="540">
        <v>168223</v>
      </c>
      <c r="E45" s="515">
        <v>0</v>
      </c>
      <c r="F45" s="514"/>
      <c r="G45" s="541"/>
      <c r="H45" s="514"/>
      <c r="I45" s="541"/>
      <c r="J45" s="514"/>
      <c r="K45" s="541"/>
      <c r="L45" s="531">
        <f>'Álláshelyek száma'!E60</f>
        <v>66</v>
      </c>
      <c r="M45" s="514">
        <f t="shared" si="4"/>
        <v>2548833.3333333335</v>
      </c>
      <c r="N45" s="517">
        <f>M45-$M$47</f>
        <v>-27226.072607260663</v>
      </c>
    </row>
    <row r="46" spans="1:14" ht="24" customHeight="1">
      <c r="A46" s="542" t="s">
        <v>284</v>
      </c>
      <c r="B46" s="543">
        <v>126918</v>
      </c>
      <c r="C46" s="477">
        <f>B46-D46</f>
        <v>34959</v>
      </c>
      <c r="D46" s="507">
        <v>91959</v>
      </c>
      <c r="E46" s="529">
        <v>0</v>
      </c>
      <c r="F46" s="544"/>
      <c r="G46" s="545"/>
      <c r="H46" s="544"/>
      <c r="I46" s="545"/>
      <c r="J46" s="544"/>
      <c r="K46" s="545"/>
      <c r="L46" s="539">
        <f>'Álláshelyek száma'!E61</f>
        <v>35</v>
      </c>
      <c r="M46" s="507">
        <f t="shared" si="4"/>
        <v>2627400</v>
      </c>
      <c r="N46" s="546">
        <f>M46-$M$47</f>
        <v>51340.59405940585</v>
      </c>
    </row>
    <row r="47" spans="1:14" ht="18" customHeight="1">
      <c r="A47" s="500" t="s">
        <v>265</v>
      </c>
      <c r="B47" s="483">
        <f>SUM(B45:B46)</f>
        <v>876637</v>
      </c>
      <c r="C47" s="483">
        <f>SUM(C45:C46)</f>
        <v>616455</v>
      </c>
      <c r="D47" s="483">
        <f>SUM(D45:D46)</f>
        <v>260182</v>
      </c>
      <c r="E47" s="483">
        <f>SUM(E45:E46)</f>
        <v>0</v>
      </c>
      <c r="F47" s="483">
        <f>SUM(F45:F46)</f>
        <v>0</v>
      </c>
      <c r="G47" s="484" t="s">
        <v>281</v>
      </c>
      <c r="H47" s="483">
        <f>SUM(H45:H46)</f>
        <v>0</v>
      </c>
      <c r="I47" s="484" t="s">
        <v>281</v>
      </c>
      <c r="J47" s="483">
        <f>SUM(J45:J46)</f>
        <v>0</v>
      </c>
      <c r="K47" s="484" t="s">
        <v>281</v>
      </c>
      <c r="L47" s="511">
        <f>SUM(L45:L46)</f>
        <v>101</v>
      </c>
      <c r="M47" s="483">
        <f t="shared" si="4"/>
        <v>2576059.405940594</v>
      </c>
      <c r="N47" s="486" t="s">
        <v>281</v>
      </c>
    </row>
    <row r="48" spans="1:14" ht="12">
      <c r="A48" s="547" t="s">
        <v>267</v>
      </c>
      <c r="B48" s="548">
        <v>724265</v>
      </c>
      <c r="C48" s="477">
        <f>B48-D48</f>
        <v>473533</v>
      </c>
      <c r="D48" s="548">
        <v>250732</v>
      </c>
      <c r="E48" s="548">
        <v>0</v>
      </c>
      <c r="F48" s="548"/>
      <c r="G48" s="549"/>
      <c r="H48" s="548"/>
      <c r="I48" s="549"/>
      <c r="J48" s="548"/>
      <c r="K48" s="549"/>
      <c r="L48" s="712">
        <f>'Álláshelyek száma'!E64</f>
        <v>64</v>
      </c>
      <c r="M48" s="548">
        <f t="shared" si="4"/>
        <v>3917687.5</v>
      </c>
      <c r="N48" s="517">
        <f>M48-$M$47</f>
        <v>1341628.0940594058</v>
      </c>
    </row>
    <row r="49" spans="1:14" ht="18" customHeight="1">
      <c r="A49" s="500" t="s">
        <v>268</v>
      </c>
      <c r="B49" s="550">
        <f>SUM(B48)</f>
        <v>724265</v>
      </c>
      <c r="C49" s="550">
        <f>SUM(C48)</f>
        <v>473533</v>
      </c>
      <c r="D49" s="550">
        <f>SUM(D48)</f>
        <v>250732</v>
      </c>
      <c r="E49" s="550"/>
      <c r="F49" s="550"/>
      <c r="G49" s="484" t="s">
        <v>281</v>
      </c>
      <c r="H49" s="550"/>
      <c r="I49" s="484" t="s">
        <v>281</v>
      </c>
      <c r="J49" s="550"/>
      <c r="K49" s="484" t="s">
        <v>281</v>
      </c>
      <c r="L49" s="551">
        <f>SUM(L48)</f>
        <v>64</v>
      </c>
      <c r="M49" s="550">
        <f t="shared" si="4"/>
        <v>3917687.5</v>
      </c>
      <c r="N49" s="486" t="s">
        <v>281</v>
      </c>
    </row>
    <row r="50" spans="1:14" ht="20.25" customHeight="1">
      <c r="A50" s="552" t="s">
        <v>249</v>
      </c>
      <c r="B50" s="553">
        <f>SUM(B49,B47,B44,B31,B16,B14,B13,B7)</f>
        <v>13337022</v>
      </c>
      <c r="C50" s="554">
        <f>SUM(C49,C47,C44,C31,C16,C14,C13,C7)</f>
        <v>3989870</v>
      </c>
      <c r="D50" s="554">
        <f>SUM(D49,D47,D44,D31,D16,D14,D13,D7)</f>
        <v>9347152</v>
      </c>
      <c r="E50" s="554">
        <f>SUM(E49,E47,E44,E31,E16,E14,E13,E7)</f>
        <v>18871.36666666667</v>
      </c>
      <c r="F50" s="553">
        <f>B50/E50*1000</f>
        <v>706733.2343002891</v>
      </c>
      <c r="G50" s="555" t="s">
        <v>281</v>
      </c>
      <c r="H50" s="553">
        <f>C50/E50*1000</f>
        <v>211424.5391165805</v>
      </c>
      <c r="I50" s="555" t="s">
        <v>281</v>
      </c>
      <c r="J50" s="553">
        <f>D50/E50*1000</f>
        <v>495308.6951837086</v>
      </c>
      <c r="K50" s="555" t="s">
        <v>281</v>
      </c>
      <c r="L50" s="556">
        <f>SUM(L49,L47,L44,L31,L16,L14,L13,L7)</f>
        <v>2823.3999999999996</v>
      </c>
      <c r="M50" s="553">
        <f t="shared" si="4"/>
        <v>3310601.4025642844</v>
      </c>
      <c r="N50" s="557" t="s">
        <v>281</v>
      </c>
    </row>
    <row r="51" spans="2:12" ht="12">
      <c r="B51" s="468">
        <v>13337022</v>
      </c>
      <c r="D51" s="468">
        <v>9347152</v>
      </c>
      <c r="E51" s="468">
        <f>'ellátottak '!E51</f>
        <v>18871.36666666667</v>
      </c>
      <c r="L51" s="558">
        <f>'Álláshelyek száma'!E66</f>
        <v>2823.4</v>
      </c>
    </row>
    <row r="52" spans="1:4" ht="12" hidden="1">
      <c r="A52" s="559"/>
      <c r="B52" s="559"/>
      <c r="C52" s="559"/>
      <c r="D52" s="559"/>
    </row>
    <row r="53" spans="1:4" ht="12" hidden="1">
      <c r="A53" s="559"/>
      <c r="B53" s="559"/>
      <c r="C53" s="559"/>
      <c r="D53" s="559"/>
    </row>
    <row r="54" spans="1:4" ht="12" hidden="1">
      <c r="A54" s="559"/>
      <c r="B54" s="559"/>
      <c r="C54" s="559"/>
      <c r="D54" s="559"/>
    </row>
    <row r="55" spans="1:4" ht="12" hidden="1">
      <c r="A55" s="559"/>
      <c r="B55" s="559"/>
      <c r="C55" s="559"/>
      <c r="D55" s="559"/>
    </row>
    <row r="56" spans="1:4" ht="12" hidden="1">
      <c r="A56" s="559"/>
      <c r="B56" s="559"/>
      <c r="C56" s="559"/>
      <c r="D56" s="559"/>
    </row>
    <row r="57" spans="1:4" ht="12" hidden="1">
      <c r="A57" s="559"/>
      <c r="B57" s="559"/>
      <c r="C57" s="559"/>
      <c r="D57" s="559"/>
    </row>
    <row r="58" spans="1:4" ht="12" hidden="1">
      <c r="A58" s="559"/>
      <c r="B58" s="559"/>
      <c r="C58" s="559"/>
      <c r="D58" s="559"/>
    </row>
    <row r="59" spans="1:4" ht="12" hidden="1">
      <c r="A59" s="559"/>
      <c r="B59" s="559"/>
      <c r="C59" s="559"/>
      <c r="D59" s="559"/>
    </row>
    <row r="60" spans="1:4" ht="12" hidden="1">
      <c r="A60" s="559"/>
      <c r="B60" s="559"/>
      <c r="C60" s="559"/>
      <c r="D60" s="559"/>
    </row>
    <row r="61" ht="12" hidden="1"/>
    <row r="62" ht="12" hidden="1"/>
    <row r="63" spans="1:4" ht="12" hidden="1">
      <c r="A63" s="559"/>
      <c r="B63" s="559"/>
      <c r="C63" s="559"/>
      <c r="D63" s="559"/>
    </row>
    <row r="64" spans="1:4" ht="12" hidden="1">
      <c r="A64" s="559"/>
      <c r="B64" s="559"/>
      <c r="C64" s="559"/>
      <c r="D64" s="559"/>
    </row>
    <row r="65" spans="1:4" ht="12" hidden="1">
      <c r="A65" s="559"/>
      <c r="B65" s="559"/>
      <c r="C65" s="559"/>
      <c r="D65" s="559"/>
    </row>
    <row r="66" spans="1:4" ht="12" hidden="1">
      <c r="A66" s="559"/>
      <c r="B66" s="559"/>
      <c r="C66" s="559"/>
      <c r="D66" s="559"/>
    </row>
    <row r="67" spans="1:12" ht="12">
      <c r="A67" s="560"/>
      <c r="B67" s="468">
        <f>B50-B51</f>
        <v>0</v>
      </c>
      <c r="C67" s="468">
        <f>C50+D51</f>
        <v>13337022</v>
      </c>
      <c r="D67" s="468">
        <f>D50-D51</f>
        <v>0</v>
      </c>
      <c r="E67" s="468">
        <f>E50-E51</f>
        <v>0</v>
      </c>
      <c r="L67" s="468">
        <f>L50-L51</f>
        <v>0</v>
      </c>
    </row>
    <row r="68" spans="1:4" ht="12" hidden="1">
      <c r="A68" s="559"/>
      <c r="B68" s="559"/>
      <c r="C68" s="559"/>
      <c r="D68" s="559"/>
    </row>
    <row r="69" spans="1:4" ht="12" hidden="1">
      <c r="A69" s="559"/>
      <c r="B69" s="559"/>
      <c r="C69" s="559"/>
      <c r="D69" s="559"/>
    </row>
    <row r="70" spans="1:4" ht="12" hidden="1">
      <c r="A70" s="559"/>
      <c r="B70" s="559"/>
      <c r="C70" s="559"/>
      <c r="D70" s="559"/>
    </row>
    <row r="71" spans="1:4" ht="12" hidden="1">
      <c r="A71" s="559"/>
      <c r="B71" s="559"/>
      <c r="C71" s="559"/>
      <c r="D71" s="559"/>
    </row>
    <row r="72" spans="1:4" ht="12" hidden="1">
      <c r="A72" s="559"/>
      <c r="B72" s="559"/>
      <c r="C72" s="559"/>
      <c r="D72" s="559"/>
    </row>
    <row r="73" spans="1:4" ht="12" hidden="1">
      <c r="A73" s="559"/>
      <c r="B73" s="559"/>
      <c r="C73" s="559"/>
      <c r="D73" s="559"/>
    </row>
    <row r="74" spans="1:4" ht="12" hidden="1">
      <c r="A74" s="559"/>
      <c r="B74" s="559"/>
      <c r="C74" s="559"/>
      <c r="D74" s="559"/>
    </row>
    <row r="75" spans="1:4" ht="12" hidden="1">
      <c r="A75" s="559"/>
      <c r="B75" s="559"/>
      <c r="C75" s="559"/>
      <c r="D75" s="559"/>
    </row>
    <row r="76" spans="1:4" ht="12" hidden="1">
      <c r="A76" s="559"/>
      <c r="B76" s="559"/>
      <c r="C76" s="559"/>
      <c r="D76" s="559"/>
    </row>
    <row r="77" spans="1:4" ht="12" hidden="1">
      <c r="A77" s="559"/>
      <c r="B77" s="559"/>
      <c r="C77" s="559"/>
      <c r="D77" s="559"/>
    </row>
  </sheetData>
  <mergeCells count="2">
    <mergeCell ref="A2:N2"/>
    <mergeCell ref="A1:N1"/>
  </mergeCells>
  <printOptions horizontalCentered="1"/>
  <pageMargins left="0.2" right="0.2" top="0.26" bottom="0.19" header="0.17" footer="0.18"/>
  <pageSetup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P82"/>
  <sheetViews>
    <sheetView workbookViewId="0" topLeftCell="A2">
      <pane xSplit="1" ySplit="4" topLeftCell="B6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9.140625" defaultRowHeight="12.75"/>
  <cols>
    <col min="1" max="1" width="29.7109375" style="468" customWidth="1"/>
    <col min="2" max="2" width="9.57421875" style="562" customWidth="1"/>
    <col min="3" max="3" width="10.00390625" style="562" customWidth="1"/>
    <col min="4" max="4" width="9.421875" style="562" customWidth="1"/>
    <col min="5" max="5" width="7.57421875" style="562" customWidth="1"/>
    <col min="6" max="6" width="9.00390625" style="562" customWidth="1"/>
    <col min="7" max="7" width="8.140625" style="562" customWidth="1"/>
    <col min="8" max="8" width="10.28125" style="562" customWidth="1"/>
    <col min="9" max="9" width="8.28125" style="562" customWidth="1"/>
    <col min="10" max="10" width="9.57421875" style="562" customWidth="1"/>
    <col min="11" max="11" width="8.140625" style="562" customWidth="1"/>
    <col min="12" max="12" width="7.7109375" style="562" customWidth="1"/>
    <col min="13" max="14" width="11.28125" style="562" customWidth="1"/>
    <col min="15" max="16384" width="8.00390625" style="562" customWidth="1"/>
  </cols>
  <sheetData>
    <row r="1" spans="1:16" ht="12.75">
      <c r="A1" s="930" t="s">
        <v>269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561"/>
      <c r="P1" s="561"/>
    </row>
    <row r="2" spans="1:15" ht="15.75">
      <c r="A2" s="930" t="s">
        <v>285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563"/>
    </row>
    <row r="5" spans="1:14" ht="70.5" customHeight="1">
      <c r="A5" s="470" t="s">
        <v>222</v>
      </c>
      <c r="B5" s="471" t="s">
        <v>286</v>
      </c>
      <c r="C5" s="471" t="s">
        <v>272</v>
      </c>
      <c r="D5" s="471" t="s">
        <v>273</v>
      </c>
      <c r="E5" s="471" t="s">
        <v>274</v>
      </c>
      <c r="F5" s="471" t="s">
        <v>275</v>
      </c>
      <c r="G5" s="471" t="s">
        <v>276</v>
      </c>
      <c r="H5" s="471" t="s">
        <v>287</v>
      </c>
      <c r="I5" s="471" t="s">
        <v>276</v>
      </c>
      <c r="J5" s="471" t="s">
        <v>278</v>
      </c>
      <c r="K5" s="471" t="s">
        <v>276</v>
      </c>
      <c r="L5" s="471" t="s">
        <v>279</v>
      </c>
      <c r="M5" s="471" t="s">
        <v>280</v>
      </c>
      <c r="N5" s="472" t="s">
        <v>276</v>
      </c>
    </row>
    <row r="6" spans="1:14" ht="16.5" customHeight="1">
      <c r="A6" s="473" t="s">
        <v>254</v>
      </c>
      <c r="B6" s="474">
        <v>96658</v>
      </c>
      <c r="C6" s="474">
        <f>B6-D6</f>
        <v>48971</v>
      </c>
      <c r="D6" s="474">
        <v>47687</v>
      </c>
      <c r="E6" s="474"/>
      <c r="F6" s="474"/>
      <c r="G6" s="474"/>
      <c r="H6" s="474"/>
      <c r="I6" s="474"/>
      <c r="J6" s="474"/>
      <c r="K6" s="474"/>
      <c r="L6" s="564">
        <f>'Álláshelyek száma'!D8</f>
        <v>23</v>
      </c>
      <c r="M6" s="474">
        <f aca="true" t="shared" si="0" ref="M6:M14">D6/L6*1000</f>
        <v>2073347.8260869565</v>
      </c>
      <c r="N6" s="475">
        <f>M6-$M$8</f>
        <v>-1408121.5616681455</v>
      </c>
    </row>
    <row r="7" spans="1:14" ht="16.5" customHeight="1">
      <c r="A7" s="476" t="s">
        <v>255</v>
      </c>
      <c r="B7" s="477">
        <v>554660</v>
      </c>
      <c r="C7" s="474">
        <f>B7-D7</f>
        <v>90571</v>
      </c>
      <c r="D7" s="477">
        <v>464089</v>
      </c>
      <c r="E7" s="477"/>
      <c r="F7" s="477"/>
      <c r="G7" s="477"/>
      <c r="H7" s="477"/>
      <c r="I7" s="477"/>
      <c r="J7" s="478"/>
      <c r="K7" s="477"/>
      <c r="L7" s="564">
        <f>'Álláshelyek száma'!D9</f>
        <v>124</v>
      </c>
      <c r="M7" s="477">
        <f t="shared" si="0"/>
        <v>3742653.225806452</v>
      </c>
      <c r="N7" s="480">
        <f>M7-$M$8</f>
        <v>261183.83805134986</v>
      </c>
    </row>
    <row r="8" spans="1:14" ht="24.75" customHeight="1">
      <c r="A8" s="481" t="s">
        <v>256</v>
      </c>
      <c r="B8" s="482">
        <f>SUM(B6:B7)</f>
        <v>651318</v>
      </c>
      <c r="C8" s="483">
        <f>SUM(C6:C7)</f>
        <v>139542</v>
      </c>
      <c r="D8" s="483">
        <f>SUM(D6:D7)</f>
        <v>511776</v>
      </c>
      <c r="E8" s="482"/>
      <c r="F8" s="482"/>
      <c r="G8" s="484"/>
      <c r="H8" s="482"/>
      <c r="I8" s="484"/>
      <c r="J8" s="482"/>
      <c r="K8" s="484"/>
      <c r="L8" s="485">
        <f>SUM(L6:L7)</f>
        <v>147</v>
      </c>
      <c r="M8" s="482">
        <f t="shared" si="0"/>
        <v>3481469.387755102</v>
      </c>
      <c r="N8" s="486" t="s">
        <v>281</v>
      </c>
    </row>
    <row r="9" spans="1:14" ht="15" customHeight="1">
      <c r="A9" s="487" t="s">
        <v>209</v>
      </c>
      <c r="B9" s="488">
        <v>616525</v>
      </c>
      <c r="C9" s="474">
        <f>B9-D9</f>
        <v>224101</v>
      </c>
      <c r="D9" s="488">
        <v>392424</v>
      </c>
      <c r="E9" s="489">
        <f>'ellátottak '!D7</f>
        <v>307</v>
      </c>
      <c r="F9" s="488">
        <f>B9/E9*1000</f>
        <v>2008224.7557003256</v>
      </c>
      <c r="G9" s="488">
        <f>F9-$F$14</f>
        <v>21080.191781568108</v>
      </c>
      <c r="H9" s="488">
        <f>C9/E9*1000</f>
        <v>729970.684039088</v>
      </c>
      <c r="I9" s="488">
        <f>H9-$H$14</f>
        <v>-1574.1188282954972</v>
      </c>
      <c r="J9" s="488">
        <f>D9/E9*1000</f>
        <v>1278254.0716612376</v>
      </c>
      <c r="K9" s="488">
        <f>J9-$J$14</f>
        <v>22654.310609863838</v>
      </c>
      <c r="L9" s="565">
        <f>'Álláshelyek száma'!D12</f>
        <v>195</v>
      </c>
      <c r="M9" s="488">
        <f t="shared" si="0"/>
        <v>2012430.7692307692</v>
      </c>
      <c r="N9" s="490">
        <f>M9-$M$14</f>
        <v>-165969.5629951444</v>
      </c>
    </row>
    <row r="10" spans="1:14" ht="15" customHeight="1">
      <c r="A10" s="491" t="s">
        <v>210</v>
      </c>
      <c r="B10" s="492">
        <v>535947</v>
      </c>
      <c r="C10" s="474">
        <f>B10-D10</f>
        <v>131349</v>
      </c>
      <c r="D10" s="492">
        <v>404598</v>
      </c>
      <c r="E10" s="489">
        <f>'ellátottak '!D8</f>
        <v>356</v>
      </c>
      <c r="F10" s="492">
        <f>B10/E10*1000</f>
        <v>1505469.1011235954</v>
      </c>
      <c r="G10" s="492">
        <f>F10-$F$14</f>
        <v>-481675.4627951621</v>
      </c>
      <c r="H10" s="492">
        <f>C10/E10*1000</f>
        <v>368957.86516853934</v>
      </c>
      <c r="I10" s="492">
        <f>H10-$H$14</f>
        <v>-362586.9376988441</v>
      </c>
      <c r="J10" s="492">
        <f>D10/E10*1000</f>
        <v>1136511.2359550563</v>
      </c>
      <c r="K10" s="492">
        <f>J10-$J$14</f>
        <v>-119088.52509631752</v>
      </c>
      <c r="L10" s="565">
        <f>'Álláshelyek száma'!D13</f>
        <v>199</v>
      </c>
      <c r="M10" s="492">
        <f t="shared" si="0"/>
        <v>2033155.7788944724</v>
      </c>
      <c r="N10" s="495">
        <f>M10-$M$14</f>
        <v>-145244.55333144125</v>
      </c>
    </row>
    <row r="11" spans="1:14" ht="36.75" customHeight="1">
      <c r="A11" s="496" t="s">
        <v>211</v>
      </c>
      <c r="B11" s="492">
        <v>117437</v>
      </c>
      <c r="C11" s="474">
        <f>B11-D11</f>
        <v>30300</v>
      </c>
      <c r="D11" s="492">
        <v>87137</v>
      </c>
      <c r="E11" s="489">
        <f>'ellátottak '!D9</f>
        <v>64</v>
      </c>
      <c r="F11" s="492">
        <f>B11/E11*1000</f>
        <v>1834953.125</v>
      </c>
      <c r="G11" s="492">
        <f>F11-$F$14</f>
        <v>-152191.43891875749</v>
      </c>
      <c r="H11" s="492">
        <f>C11/E11*1000</f>
        <v>473437.5</v>
      </c>
      <c r="I11" s="492">
        <f>H11-$H$14</f>
        <v>-258107.30286738346</v>
      </c>
      <c r="J11" s="492">
        <f>D11/E11*1000</f>
        <v>1361515.625</v>
      </c>
      <c r="K11" s="492">
        <f>J11-$J$14</f>
        <v>105915.86394862621</v>
      </c>
      <c r="L11" s="565">
        <f>'Álláshelyek száma'!D14</f>
        <v>38</v>
      </c>
      <c r="M11" s="492">
        <f t="shared" si="0"/>
        <v>2293078.947368421</v>
      </c>
      <c r="N11" s="495">
        <f>M11-$M$14</f>
        <v>114678.61514250748</v>
      </c>
    </row>
    <row r="12" spans="1:14" ht="14.25" customHeight="1">
      <c r="A12" s="491" t="s">
        <v>212</v>
      </c>
      <c r="B12" s="492">
        <v>393331</v>
      </c>
      <c r="C12" s="474">
        <f>B12-D12</f>
        <v>226553</v>
      </c>
      <c r="D12" s="492">
        <v>166778</v>
      </c>
      <c r="E12" s="489">
        <f>'ellátottak '!D10</f>
        <v>110</v>
      </c>
      <c r="F12" s="492">
        <f>B12/E12*1000</f>
        <v>3575736.3636363633</v>
      </c>
      <c r="G12" s="492">
        <f>F12-$F$14</f>
        <v>1588591.7997176058</v>
      </c>
      <c r="H12" s="492">
        <f>C12/E12*1000</f>
        <v>2059572.7272727273</v>
      </c>
      <c r="I12" s="492">
        <f>H12-$H$14</f>
        <v>1328027.9244053438</v>
      </c>
      <c r="J12" s="492">
        <f>D12/E12*1000</f>
        <v>1516163.6363636365</v>
      </c>
      <c r="K12" s="492">
        <f>J12-$J$14</f>
        <v>260563.87531226268</v>
      </c>
      <c r="L12" s="565">
        <f>'Álláshelyek száma'!D15</f>
        <v>64</v>
      </c>
      <c r="M12" s="492">
        <f t="shared" si="0"/>
        <v>2605906.25</v>
      </c>
      <c r="N12" s="495">
        <f>M12-$M$14</f>
        <v>427505.91777408635</v>
      </c>
    </row>
    <row r="13" spans="1:14" ht="14.25" customHeight="1">
      <c r="A13" s="497" t="s">
        <v>257</v>
      </c>
      <c r="B13" s="477">
        <v>398861</v>
      </c>
      <c r="C13" s="474">
        <f>B13-D13</f>
        <v>138401</v>
      </c>
      <c r="D13" s="477">
        <v>260460</v>
      </c>
      <c r="E13" s="477">
        <v>0</v>
      </c>
      <c r="F13" s="498"/>
      <c r="G13" s="477"/>
      <c r="H13" s="477"/>
      <c r="I13" s="477"/>
      <c r="J13" s="477"/>
      <c r="K13" s="477"/>
      <c r="L13" s="565">
        <f>'Álláshelyek száma'!D16</f>
        <v>106</v>
      </c>
      <c r="M13" s="498">
        <f t="shared" si="0"/>
        <v>2457169.8113207547</v>
      </c>
      <c r="N13" s="499">
        <f>M13-$M$14</f>
        <v>278769.47909484105</v>
      </c>
    </row>
    <row r="14" spans="1:14" ht="24.75" customHeight="1">
      <c r="A14" s="428" t="s">
        <v>230</v>
      </c>
      <c r="B14" s="482">
        <f>SUM(B9:B13)</f>
        <v>2062101</v>
      </c>
      <c r="C14" s="483">
        <f>SUM(C9:C13)</f>
        <v>750704</v>
      </c>
      <c r="D14" s="483">
        <f>SUM(D9:D13)</f>
        <v>1311397</v>
      </c>
      <c r="E14" s="482">
        <f>SUM(E9:E13)</f>
        <v>837</v>
      </c>
      <c r="F14" s="482">
        <f>SUM(B9:B12)/E14*1000</f>
        <v>1987144.5639187575</v>
      </c>
      <c r="G14" s="484" t="s">
        <v>281</v>
      </c>
      <c r="H14" s="482">
        <f>SUM(C9:C12)/E14*1000</f>
        <v>731544.8028673835</v>
      </c>
      <c r="I14" s="484" t="s">
        <v>281</v>
      </c>
      <c r="J14" s="482">
        <f>SUM(D9:D12)/E14*1000</f>
        <v>1255599.7610513738</v>
      </c>
      <c r="K14" s="484" t="s">
        <v>281</v>
      </c>
      <c r="L14" s="485">
        <f>SUM(L9:L13)</f>
        <v>602</v>
      </c>
      <c r="M14" s="482">
        <f t="shared" si="0"/>
        <v>2178400.3322259136</v>
      </c>
      <c r="N14" s="486" t="s">
        <v>281</v>
      </c>
    </row>
    <row r="15" spans="1:14" ht="23.25" customHeight="1">
      <c r="A15" s="500" t="s">
        <v>282</v>
      </c>
      <c r="B15" s="482">
        <v>103431</v>
      </c>
      <c r="C15" s="501">
        <f>B15-D15</f>
        <v>38806</v>
      </c>
      <c r="D15" s="483">
        <v>64625</v>
      </c>
      <c r="E15" s="482"/>
      <c r="F15" s="482"/>
      <c r="G15" s="484"/>
      <c r="H15" s="482"/>
      <c r="I15" s="484"/>
      <c r="J15" s="482"/>
      <c r="K15" s="484"/>
      <c r="L15" s="485">
        <f>'Álláshelyek száma'!D18</f>
        <v>25</v>
      </c>
      <c r="M15" s="482">
        <f>D15/L15*1000</f>
        <v>2585000</v>
      </c>
      <c r="N15" s="502">
        <f>M15-$M$20</f>
        <v>218106.63507108996</v>
      </c>
    </row>
    <row r="16" spans="1:14" ht="15" customHeight="1">
      <c r="A16" s="524" t="s">
        <v>232</v>
      </c>
      <c r="B16" s="566">
        <v>300443</v>
      </c>
      <c r="C16" s="474">
        <f>B16-D16</f>
        <v>72935</v>
      </c>
      <c r="D16" s="514">
        <v>227508</v>
      </c>
      <c r="E16" s="437">
        <f>'ellátottak '!D13</f>
        <v>543.5</v>
      </c>
      <c r="F16" s="514">
        <f aca="true" t="shared" si="1" ref="F16:F33">(B16/E16)*1000</f>
        <v>552793.0082796689</v>
      </c>
      <c r="G16" s="514">
        <f>F16-$F$20</f>
        <v>18070.717891120818</v>
      </c>
      <c r="H16" s="514">
        <f aca="true" t="shared" si="2" ref="H16:H33">(C16/E16)*1000</f>
        <v>134195.03219871206</v>
      </c>
      <c r="I16" s="514">
        <f>H16-$H$20</f>
        <v>7991.760215071976</v>
      </c>
      <c r="J16" s="514">
        <f aca="true" t="shared" si="3" ref="J16:J33">(D16/E16)*1000</f>
        <v>418597.97608095675</v>
      </c>
      <c r="K16" s="514">
        <f>J16-$J$20</f>
        <v>10078.957676048798</v>
      </c>
      <c r="L16" s="567">
        <f>'Álláshelyek száma'!D20</f>
        <v>98.25</v>
      </c>
      <c r="M16" s="514">
        <f aca="true" t="shared" si="4" ref="M16:M53">(D16/L16)*1000</f>
        <v>2315603.053435114</v>
      </c>
      <c r="N16" s="517">
        <f>M16-$M$20</f>
        <v>-51290.31149379583</v>
      </c>
    </row>
    <row r="17" spans="1:14" ht="15" customHeight="1">
      <c r="A17" s="524" t="s">
        <v>233</v>
      </c>
      <c r="B17" s="568">
        <v>362484</v>
      </c>
      <c r="C17" s="474">
        <f>B17-D17</f>
        <v>83304</v>
      </c>
      <c r="D17" s="520">
        <v>279180</v>
      </c>
      <c r="E17" s="437">
        <f>'ellátottak '!D14</f>
        <v>687</v>
      </c>
      <c r="F17" s="520">
        <f t="shared" si="1"/>
        <v>527633.1877729258</v>
      </c>
      <c r="G17" s="520">
        <f>F17-$F$20</f>
        <v>-7089.1026156222215</v>
      </c>
      <c r="H17" s="520">
        <f t="shared" si="2"/>
        <v>121257.64192139739</v>
      </c>
      <c r="I17" s="520">
        <f>H17-$H$20</f>
        <v>-4945.630062242693</v>
      </c>
      <c r="J17" s="520">
        <f t="shared" si="3"/>
        <v>406375.5458515284</v>
      </c>
      <c r="K17" s="520">
        <f>J17-$J$20</f>
        <v>-2143.4725533795427</v>
      </c>
      <c r="L17" s="567">
        <f>'Álláshelyek száma'!D21</f>
        <v>114.75</v>
      </c>
      <c r="M17" s="520">
        <f t="shared" si="4"/>
        <v>2432941.1764705884</v>
      </c>
      <c r="N17" s="521">
        <f>M17-$M$20</f>
        <v>66047.81154167838</v>
      </c>
    </row>
    <row r="18" spans="1:14" ht="15" customHeight="1">
      <c r="A18" s="524" t="s">
        <v>234</v>
      </c>
      <c r="B18" s="568">
        <v>317692</v>
      </c>
      <c r="C18" s="474">
        <f>B18-D18</f>
        <v>81032</v>
      </c>
      <c r="D18" s="520">
        <v>236660</v>
      </c>
      <c r="E18" s="437">
        <f>'ellátottak '!D15</f>
        <v>623.17</v>
      </c>
      <c r="F18" s="520">
        <f t="shared" si="1"/>
        <v>509799.89408989524</v>
      </c>
      <c r="G18" s="520">
        <f>F18-$F$20</f>
        <v>-24922.396298652806</v>
      </c>
      <c r="H18" s="520">
        <f t="shared" si="2"/>
        <v>130031.9335012918</v>
      </c>
      <c r="I18" s="520">
        <f>H18-$H$20</f>
        <v>3828.6615176517225</v>
      </c>
      <c r="J18" s="520">
        <f t="shared" si="3"/>
        <v>379767.96058860346</v>
      </c>
      <c r="K18" s="520">
        <f>J18-$J$20</f>
        <v>-28751.0578163045</v>
      </c>
      <c r="L18" s="567">
        <f>'Álláshelyek száma'!D22</f>
        <v>102.25</v>
      </c>
      <c r="M18" s="520">
        <f t="shared" si="4"/>
        <v>2314523.227383863</v>
      </c>
      <c r="N18" s="521">
        <f>M18-$M$20</f>
        <v>-52370.13754504686</v>
      </c>
    </row>
    <row r="19" spans="1:14" ht="15" customHeight="1">
      <c r="A19" s="569" t="s">
        <v>235</v>
      </c>
      <c r="B19" s="570">
        <v>326777</v>
      </c>
      <c r="C19" s="474">
        <f>B19-D19</f>
        <v>71296</v>
      </c>
      <c r="D19" s="507">
        <v>255481</v>
      </c>
      <c r="E19" s="437">
        <f>'ellátottak '!D16</f>
        <v>591.33</v>
      </c>
      <c r="F19" s="507">
        <f t="shared" si="1"/>
        <v>552613.5998511829</v>
      </c>
      <c r="G19" s="507">
        <f>F19-$F$20</f>
        <v>17891.309462634847</v>
      </c>
      <c r="H19" s="507">
        <f t="shared" si="2"/>
        <v>120568.88708504556</v>
      </c>
      <c r="I19" s="507">
        <f>H19-$H$20</f>
        <v>-5634.384898594522</v>
      </c>
      <c r="J19" s="507">
        <f t="shared" si="3"/>
        <v>432044.7127661373</v>
      </c>
      <c r="K19" s="507">
        <f>J19-$J$20</f>
        <v>23525.69436122937</v>
      </c>
      <c r="L19" s="567">
        <f>'Álláshelyek száma'!D23</f>
        <v>106.75</v>
      </c>
      <c r="M19" s="507">
        <f t="shared" si="4"/>
        <v>2393264.637002342</v>
      </c>
      <c r="N19" s="509">
        <f>M19-$M$20</f>
        <v>26371.272073431872</v>
      </c>
    </row>
    <row r="20" spans="1:14" ht="18" customHeight="1">
      <c r="A20" s="510" t="s">
        <v>178</v>
      </c>
      <c r="B20" s="483">
        <f>SUM(B16:B19)</f>
        <v>1307396</v>
      </c>
      <c r="C20" s="483">
        <f>SUM(C16:C19)</f>
        <v>308567</v>
      </c>
      <c r="D20" s="483">
        <f>SUM(D16:D19)</f>
        <v>998829</v>
      </c>
      <c r="E20" s="483">
        <f>SUM(E16:E19)</f>
        <v>2445</v>
      </c>
      <c r="F20" s="483">
        <f t="shared" si="1"/>
        <v>534722.290388548</v>
      </c>
      <c r="G20" s="484" t="s">
        <v>281</v>
      </c>
      <c r="H20" s="483">
        <f t="shared" si="2"/>
        <v>126203.27198364008</v>
      </c>
      <c r="I20" s="484" t="s">
        <v>281</v>
      </c>
      <c r="J20" s="483">
        <f t="shared" si="3"/>
        <v>408519.01840490795</v>
      </c>
      <c r="K20" s="484" t="s">
        <v>281</v>
      </c>
      <c r="L20" s="511">
        <f>SUM(L16:L19)</f>
        <v>422</v>
      </c>
      <c r="M20" s="483">
        <f t="shared" si="4"/>
        <v>2366893.36492891</v>
      </c>
      <c r="N20" s="486" t="s">
        <v>281</v>
      </c>
    </row>
    <row r="21" spans="1:14" ht="36">
      <c r="A21" s="512" t="s">
        <v>237</v>
      </c>
      <c r="B21" s="513">
        <v>370371</v>
      </c>
      <c r="C21" s="474">
        <f aca="true" t="shared" si="5" ref="C21:C34">B21-D21</f>
        <v>96573</v>
      </c>
      <c r="D21" s="514">
        <v>273798</v>
      </c>
      <c r="E21" s="437">
        <f>'ellátottak '!D19</f>
        <v>762.67</v>
      </c>
      <c r="F21" s="514">
        <f t="shared" si="1"/>
        <v>485624.18870546896</v>
      </c>
      <c r="G21" s="514">
        <f aca="true" t="shared" si="6" ref="G21:G33">F21-$F$35</f>
        <v>9430.721458865155</v>
      </c>
      <c r="H21" s="514">
        <f t="shared" si="2"/>
        <v>126624.8836325016</v>
      </c>
      <c r="I21" s="514">
        <f aca="true" t="shared" si="7" ref="I21:I33">H21-$H$35</f>
        <v>9308.65586234827</v>
      </c>
      <c r="J21" s="514">
        <f t="shared" si="3"/>
        <v>358999.3050729673</v>
      </c>
      <c r="K21" s="514">
        <f aca="true" t="shared" si="8" ref="K21:K33">J21-$J$35</f>
        <v>122.06559651682619</v>
      </c>
      <c r="L21" s="567">
        <f>'Álláshelyek száma'!D26</f>
        <v>92.5</v>
      </c>
      <c r="M21" s="514">
        <f t="shared" si="4"/>
        <v>2959978.378378378</v>
      </c>
      <c r="N21" s="517">
        <f aca="true" t="shared" si="9" ref="N21:N34">M21-$M$35</f>
        <v>177863.87031834526</v>
      </c>
    </row>
    <row r="22" spans="1:14" ht="13.5" customHeight="1">
      <c r="A22" s="518" t="s">
        <v>180</v>
      </c>
      <c r="B22" s="519">
        <v>119385</v>
      </c>
      <c r="C22" s="474">
        <f t="shared" si="5"/>
        <v>10471</v>
      </c>
      <c r="D22" s="520">
        <v>108914</v>
      </c>
      <c r="E22" s="437">
        <f>'ellátottak '!D20</f>
        <v>446.17</v>
      </c>
      <c r="F22" s="520">
        <f t="shared" si="1"/>
        <v>267577.3808189703</v>
      </c>
      <c r="G22" s="520">
        <f t="shared" si="6"/>
        <v>-208616.08642763348</v>
      </c>
      <c r="H22" s="520">
        <f t="shared" si="2"/>
        <v>23468.63303225228</v>
      </c>
      <c r="I22" s="520">
        <f t="shared" si="7"/>
        <v>-93847.59473790105</v>
      </c>
      <c r="J22" s="520">
        <f t="shared" si="3"/>
        <v>244108.74778671804</v>
      </c>
      <c r="K22" s="520">
        <f t="shared" si="8"/>
        <v>-114768.49168973244</v>
      </c>
      <c r="L22" s="567">
        <f>'Álláshelyek száma'!D27</f>
        <v>38</v>
      </c>
      <c r="M22" s="520">
        <f t="shared" si="4"/>
        <v>2866157.8947368423</v>
      </c>
      <c r="N22" s="521">
        <f t="shared" si="9"/>
        <v>84043.38667680928</v>
      </c>
    </row>
    <row r="23" spans="1:14" ht="13.5" customHeight="1">
      <c r="A23" s="522" t="s">
        <v>181</v>
      </c>
      <c r="B23" s="519">
        <v>251283</v>
      </c>
      <c r="C23" s="474">
        <f t="shared" si="5"/>
        <v>63329</v>
      </c>
      <c r="D23" s="520">
        <v>187954</v>
      </c>
      <c r="E23" s="437">
        <f>'ellátottak '!D21</f>
        <v>625.67</v>
      </c>
      <c r="F23" s="520">
        <f t="shared" si="1"/>
        <v>401622.26093627635</v>
      </c>
      <c r="G23" s="520">
        <f t="shared" si="6"/>
        <v>-74571.20631032746</v>
      </c>
      <c r="H23" s="520">
        <f t="shared" si="2"/>
        <v>101217.89441718478</v>
      </c>
      <c r="I23" s="520">
        <f t="shared" si="7"/>
        <v>-16098.333352968548</v>
      </c>
      <c r="J23" s="520">
        <f t="shared" si="3"/>
        <v>300404.3665190916</v>
      </c>
      <c r="K23" s="520">
        <f t="shared" si="8"/>
        <v>-58472.87295735889</v>
      </c>
      <c r="L23" s="567">
        <f>'Álláshelyek száma'!D28</f>
        <v>67.5</v>
      </c>
      <c r="M23" s="520">
        <f t="shared" si="4"/>
        <v>2784503.703703704</v>
      </c>
      <c r="N23" s="521">
        <f t="shared" si="9"/>
        <v>2389.195643670857</v>
      </c>
    </row>
    <row r="24" spans="1:14" ht="13.5" customHeight="1">
      <c r="A24" s="522" t="s">
        <v>182</v>
      </c>
      <c r="B24" s="519">
        <v>199936</v>
      </c>
      <c r="C24" s="474">
        <f t="shared" si="5"/>
        <v>59276</v>
      </c>
      <c r="D24" s="520">
        <v>140660</v>
      </c>
      <c r="E24" s="437">
        <f>'ellátottak '!D22</f>
        <v>434.33</v>
      </c>
      <c r="F24" s="520">
        <f t="shared" si="1"/>
        <v>460332.0056178482</v>
      </c>
      <c r="G24" s="520">
        <f t="shared" si="6"/>
        <v>-15861.461628755613</v>
      </c>
      <c r="H24" s="520">
        <f t="shared" si="2"/>
        <v>136476.8724241936</v>
      </c>
      <c r="I24" s="520">
        <f t="shared" si="7"/>
        <v>19160.64465404027</v>
      </c>
      <c r="J24" s="520">
        <f t="shared" si="3"/>
        <v>323855.1331936546</v>
      </c>
      <c r="K24" s="520">
        <f t="shared" si="8"/>
        <v>-35022.106282795896</v>
      </c>
      <c r="L24" s="567">
        <f>'Álláshelyek száma'!D29</f>
        <v>48</v>
      </c>
      <c r="M24" s="520">
        <f t="shared" si="4"/>
        <v>2930416.6666666665</v>
      </c>
      <c r="N24" s="521">
        <f t="shared" si="9"/>
        <v>148302.15860663354</v>
      </c>
    </row>
    <row r="25" spans="1:14" ht="13.5" customHeight="1">
      <c r="A25" s="522" t="s">
        <v>183</v>
      </c>
      <c r="B25" s="519">
        <v>195402</v>
      </c>
      <c r="C25" s="474">
        <f t="shared" si="5"/>
        <v>52239</v>
      </c>
      <c r="D25" s="520">
        <v>143163</v>
      </c>
      <c r="E25" s="437">
        <f>'ellátottak '!D23</f>
        <v>474</v>
      </c>
      <c r="F25" s="520">
        <f t="shared" si="1"/>
        <v>412240.50632911397</v>
      </c>
      <c r="G25" s="520">
        <f t="shared" si="6"/>
        <v>-63952.960917489836</v>
      </c>
      <c r="H25" s="520">
        <f t="shared" si="2"/>
        <v>110208.86075949368</v>
      </c>
      <c r="I25" s="520">
        <f t="shared" si="7"/>
        <v>-7107.367010659655</v>
      </c>
      <c r="J25" s="520">
        <f t="shared" si="3"/>
        <v>302031.64556962025</v>
      </c>
      <c r="K25" s="520">
        <f t="shared" si="8"/>
        <v>-56845.59390683024</v>
      </c>
      <c r="L25" s="567">
        <f>'Álláshelyek száma'!D30</f>
        <v>51</v>
      </c>
      <c r="M25" s="520">
        <f t="shared" si="4"/>
        <v>2807117.6470588236</v>
      </c>
      <c r="N25" s="521">
        <f t="shared" si="9"/>
        <v>25003.138998790644</v>
      </c>
    </row>
    <row r="26" spans="1:14" ht="13.5" customHeight="1">
      <c r="A26" s="522" t="s">
        <v>283</v>
      </c>
      <c r="B26" s="519">
        <v>245114</v>
      </c>
      <c r="C26" s="474">
        <f t="shared" si="5"/>
        <v>71918</v>
      </c>
      <c r="D26" s="520">
        <v>173196</v>
      </c>
      <c r="E26" s="437">
        <f>'ellátottak '!D24</f>
        <v>521.33</v>
      </c>
      <c r="F26" s="520">
        <f t="shared" si="1"/>
        <v>470170.5253869909</v>
      </c>
      <c r="G26" s="520">
        <f t="shared" si="6"/>
        <v>-6022.941859612882</v>
      </c>
      <c r="H26" s="520">
        <f t="shared" si="2"/>
        <v>137951.00991694318</v>
      </c>
      <c r="I26" s="520">
        <f t="shared" si="7"/>
        <v>20634.782146789847</v>
      </c>
      <c r="J26" s="520">
        <f t="shared" si="3"/>
        <v>332219.5154700477</v>
      </c>
      <c r="K26" s="520">
        <f t="shared" si="8"/>
        <v>-26657.724006402772</v>
      </c>
      <c r="L26" s="567">
        <f>'Álláshelyek száma'!D31</f>
        <v>56</v>
      </c>
      <c r="M26" s="520">
        <f t="shared" si="4"/>
        <v>3092785.714285714</v>
      </c>
      <c r="N26" s="521">
        <f t="shared" si="9"/>
        <v>310671.2062256811</v>
      </c>
    </row>
    <row r="27" spans="1:14" ht="13.5" customHeight="1">
      <c r="A27" s="523" t="s">
        <v>240</v>
      </c>
      <c r="B27" s="519">
        <v>183521</v>
      </c>
      <c r="C27" s="474">
        <f t="shared" si="5"/>
        <v>49747</v>
      </c>
      <c r="D27" s="520">
        <v>133774</v>
      </c>
      <c r="E27" s="437">
        <f>'ellátottak '!D25</f>
        <v>268.33</v>
      </c>
      <c r="F27" s="520">
        <f t="shared" si="1"/>
        <v>683937.68866694</v>
      </c>
      <c r="G27" s="520">
        <f t="shared" si="6"/>
        <v>207744.22142033617</v>
      </c>
      <c r="H27" s="520">
        <f t="shared" si="2"/>
        <v>185394.8496254612</v>
      </c>
      <c r="I27" s="520">
        <f t="shared" si="7"/>
        <v>68078.62185530788</v>
      </c>
      <c r="J27" s="520">
        <f t="shared" si="3"/>
        <v>498542.8390414788</v>
      </c>
      <c r="K27" s="520">
        <f t="shared" si="8"/>
        <v>139665.59956502833</v>
      </c>
      <c r="L27" s="567">
        <f>'Álláshelyek száma'!D32</f>
        <v>48</v>
      </c>
      <c r="M27" s="520">
        <f t="shared" si="4"/>
        <v>2786958.3333333335</v>
      </c>
      <c r="N27" s="521">
        <f t="shared" si="9"/>
        <v>4843.825273300521</v>
      </c>
    </row>
    <row r="28" spans="1:14" ht="13.5" customHeight="1">
      <c r="A28" s="524" t="s">
        <v>288</v>
      </c>
      <c r="B28" s="519">
        <v>181720</v>
      </c>
      <c r="C28" s="474">
        <f t="shared" si="5"/>
        <v>44383</v>
      </c>
      <c r="D28" s="520">
        <v>137337</v>
      </c>
      <c r="E28" s="437">
        <f>'ellátottak '!D26</f>
        <v>464.67</v>
      </c>
      <c r="F28" s="520">
        <f t="shared" si="1"/>
        <v>391073.23476876057</v>
      </c>
      <c r="G28" s="520">
        <f t="shared" si="6"/>
        <v>-85120.23247784324</v>
      </c>
      <c r="H28" s="520">
        <f t="shared" si="2"/>
        <v>95515.09673531752</v>
      </c>
      <c r="I28" s="520">
        <f t="shared" si="7"/>
        <v>-21801.13103483581</v>
      </c>
      <c r="J28" s="520">
        <f t="shared" si="3"/>
        <v>295558.1380334431</v>
      </c>
      <c r="K28" s="520">
        <f t="shared" si="8"/>
        <v>-63319.101443007414</v>
      </c>
      <c r="L28" s="567">
        <f>'Álláshelyek száma'!D33</f>
        <v>51</v>
      </c>
      <c r="M28" s="520">
        <f t="shared" si="4"/>
        <v>2692882.3529411764</v>
      </c>
      <c r="N28" s="521">
        <f t="shared" si="9"/>
        <v>-89232.15511885658</v>
      </c>
    </row>
    <row r="29" spans="1:14" ht="36">
      <c r="A29" s="496" t="s">
        <v>187</v>
      </c>
      <c r="B29" s="519">
        <v>342331</v>
      </c>
      <c r="C29" s="474">
        <f t="shared" si="5"/>
        <v>91333</v>
      </c>
      <c r="D29" s="520">
        <v>250998</v>
      </c>
      <c r="E29" s="437">
        <f>'ellátottak '!D27</f>
        <v>727.67</v>
      </c>
      <c r="F29" s="520">
        <f t="shared" si="1"/>
        <v>470448.14270204905</v>
      </c>
      <c r="G29" s="520">
        <f t="shared" si="6"/>
        <v>-5745.324544554751</v>
      </c>
      <c r="H29" s="520">
        <f t="shared" si="2"/>
        <v>125514.31280662939</v>
      </c>
      <c r="I29" s="520">
        <f t="shared" si="7"/>
        <v>8198.085036476055</v>
      </c>
      <c r="J29" s="520">
        <f t="shared" si="3"/>
        <v>344933.82989541965</v>
      </c>
      <c r="K29" s="520">
        <f t="shared" si="8"/>
        <v>-13943.409581030835</v>
      </c>
      <c r="L29" s="567">
        <f>'Álláshelyek száma'!D34</f>
        <v>94</v>
      </c>
      <c r="M29" s="520">
        <f t="shared" si="4"/>
        <v>2670191.489361702</v>
      </c>
      <c r="N29" s="521">
        <f t="shared" si="9"/>
        <v>-111923.01869833097</v>
      </c>
    </row>
    <row r="30" spans="1:14" ht="23.25" customHeight="1">
      <c r="A30" s="496" t="s">
        <v>188</v>
      </c>
      <c r="B30" s="519">
        <v>215938</v>
      </c>
      <c r="C30" s="474">
        <f t="shared" si="5"/>
        <v>32101</v>
      </c>
      <c r="D30" s="520">
        <v>183837</v>
      </c>
      <c r="E30" s="421">
        <f>'ellátottak '!D29</f>
        <v>243</v>
      </c>
      <c r="F30" s="520">
        <f t="shared" si="1"/>
        <v>888633.744855967</v>
      </c>
      <c r="G30" s="520">
        <f t="shared" si="6"/>
        <v>412440.2776093632</v>
      </c>
      <c r="H30" s="520">
        <f t="shared" si="2"/>
        <v>132102.88065843622</v>
      </c>
      <c r="I30" s="520">
        <f t="shared" si="7"/>
        <v>14786.652888282886</v>
      </c>
      <c r="J30" s="520">
        <f t="shared" si="3"/>
        <v>756530.8641975308</v>
      </c>
      <c r="K30" s="520">
        <f t="shared" si="8"/>
        <v>397653.6247210803</v>
      </c>
      <c r="L30" s="571">
        <f>'Álláshelyek száma'!D36</f>
        <v>76</v>
      </c>
      <c r="M30" s="520">
        <f t="shared" si="4"/>
        <v>2418907.8947368423</v>
      </c>
      <c r="N30" s="521">
        <f t="shared" si="9"/>
        <v>-363206.6133231907</v>
      </c>
    </row>
    <row r="31" spans="1:14" ht="27.75" customHeight="1">
      <c r="A31" s="526" t="s">
        <v>189</v>
      </c>
      <c r="B31" s="519">
        <v>225846</v>
      </c>
      <c r="C31" s="474">
        <f t="shared" si="5"/>
        <v>59782</v>
      </c>
      <c r="D31" s="520">
        <v>166064</v>
      </c>
      <c r="E31" s="421">
        <f>'ellátottak '!D30</f>
        <v>403.67</v>
      </c>
      <c r="F31" s="520">
        <f t="shared" si="1"/>
        <v>559481.7548988035</v>
      </c>
      <c r="G31" s="520">
        <f t="shared" si="6"/>
        <v>83288.28765219974</v>
      </c>
      <c r="H31" s="520">
        <f t="shared" si="2"/>
        <v>148096.21720712463</v>
      </c>
      <c r="I31" s="520">
        <f t="shared" si="7"/>
        <v>30779.9894369713</v>
      </c>
      <c r="J31" s="520">
        <f t="shared" si="3"/>
        <v>411385.53769167885</v>
      </c>
      <c r="K31" s="520">
        <f t="shared" si="8"/>
        <v>52508.298215228366</v>
      </c>
      <c r="L31" s="571">
        <f>'Álláshelyek száma'!D37</f>
        <v>62.5</v>
      </c>
      <c r="M31" s="520">
        <f t="shared" si="4"/>
        <v>2657024</v>
      </c>
      <c r="N31" s="521">
        <f t="shared" si="9"/>
        <v>-125090.50806003297</v>
      </c>
    </row>
    <row r="32" spans="1:14" ht="36">
      <c r="A32" s="496" t="s">
        <v>190</v>
      </c>
      <c r="B32" s="519">
        <v>286350</v>
      </c>
      <c r="C32" s="474">
        <f t="shared" si="5"/>
        <v>78498</v>
      </c>
      <c r="D32" s="520">
        <v>207852</v>
      </c>
      <c r="E32" s="421">
        <f>'ellátottak '!D31</f>
        <v>694.33</v>
      </c>
      <c r="F32" s="520">
        <f t="shared" si="1"/>
        <v>412411.9654919131</v>
      </c>
      <c r="G32" s="520">
        <f t="shared" si="6"/>
        <v>-63781.50175469072</v>
      </c>
      <c r="H32" s="520">
        <f t="shared" si="2"/>
        <v>113055.75158786168</v>
      </c>
      <c r="I32" s="520">
        <f t="shared" si="7"/>
        <v>-4260.476182291648</v>
      </c>
      <c r="J32" s="520">
        <f t="shared" si="3"/>
        <v>299356.21390405134</v>
      </c>
      <c r="K32" s="520">
        <f t="shared" si="8"/>
        <v>-59521.02557239914</v>
      </c>
      <c r="L32" s="571">
        <f>'Álláshelyek száma'!D38</f>
        <v>73.5</v>
      </c>
      <c r="M32" s="520">
        <f t="shared" si="4"/>
        <v>2827918.3673469387</v>
      </c>
      <c r="N32" s="521">
        <f t="shared" si="9"/>
        <v>45803.85928690573</v>
      </c>
    </row>
    <row r="33" spans="1:14" ht="18" customHeight="1">
      <c r="A33" s="518" t="s">
        <v>191</v>
      </c>
      <c r="B33" s="519">
        <v>392858</v>
      </c>
      <c r="C33" s="474">
        <f t="shared" si="5"/>
        <v>97408</v>
      </c>
      <c r="D33" s="520">
        <v>295450</v>
      </c>
      <c r="E33" s="421">
        <f>'ellátottak '!D32</f>
        <v>907.33</v>
      </c>
      <c r="F33" s="520">
        <f t="shared" si="1"/>
        <v>432982.48707746906</v>
      </c>
      <c r="G33" s="520">
        <f t="shared" si="6"/>
        <v>-43210.98016913474</v>
      </c>
      <c r="H33" s="520">
        <f t="shared" si="2"/>
        <v>107356.75002479804</v>
      </c>
      <c r="I33" s="520">
        <f t="shared" si="7"/>
        <v>-9959.477745355296</v>
      </c>
      <c r="J33" s="520">
        <f t="shared" si="3"/>
        <v>325625.73705267103</v>
      </c>
      <c r="K33" s="520">
        <f t="shared" si="8"/>
        <v>-33251.50242377946</v>
      </c>
      <c r="L33" s="571">
        <f>'Álláshelyek száma'!D39</f>
        <v>109</v>
      </c>
      <c r="M33" s="520">
        <f t="shared" si="4"/>
        <v>2710550.4587155967</v>
      </c>
      <c r="N33" s="521">
        <f t="shared" si="9"/>
        <v>-71564.04934443627</v>
      </c>
    </row>
    <row r="34" spans="1:14" ht="15" customHeight="1">
      <c r="A34" s="527" t="s">
        <v>261</v>
      </c>
      <c r="B34" s="528">
        <v>110523</v>
      </c>
      <c r="C34" s="474">
        <f t="shared" si="5"/>
        <v>11008</v>
      </c>
      <c r="D34" s="507">
        <v>99515</v>
      </c>
      <c r="E34" s="426"/>
      <c r="F34" s="507"/>
      <c r="G34" s="507"/>
      <c r="H34" s="507"/>
      <c r="I34" s="507"/>
      <c r="J34" s="507"/>
      <c r="K34" s="507"/>
      <c r="L34" s="572">
        <f>'Álláshelyek száma'!D42</f>
        <v>32.5</v>
      </c>
      <c r="M34" s="507">
        <f t="shared" si="4"/>
        <v>3062000</v>
      </c>
      <c r="N34" s="509">
        <f t="shared" si="9"/>
        <v>279885.49193996703</v>
      </c>
    </row>
    <row r="35" spans="1:14" ht="18" customHeight="1">
      <c r="A35" s="510" t="s">
        <v>289</v>
      </c>
      <c r="B35" s="483">
        <f>SUM(B21:B34)</f>
        <v>3320578</v>
      </c>
      <c r="C35" s="483">
        <f>SUM(C21:C34)</f>
        <v>818066</v>
      </c>
      <c r="D35" s="483">
        <f>SUM(D21:D34)</f>
        <v>2502512</v>
      </c>
      <c r="E35" s="483">
        <f>SUM(E21:E34)</f>
        <v>6973.169999999999</v>
      </c>
      <c r="F35" s="483">
        <f aca="true" t="shared" si="10" ref="F35:F48">(B35/E35)*1000</f>
        <v>476193.4672466038</v>
      </c>
      <c r="G35" s="484" t="s">
        <v>281</v>
      </c>
      <c r="H35" s="483">
        <f aca="true" t="shared" si="11" ref="H35:H48">(C35/E35)*1000</f>
        <v>117316.22777015333</v>
      </c>
      <c r="I35" s="484" t="s">
        <v>281</v>
      </c>
      <c r="J35" s="483">
        <f aca="true" t="shared" si="12" ref="J35:J48">(D35/E35)*1000</f>
        <v>358877.2394764505</v>
      </c>
      <c r="K35" s="484" t="s">
        <v>281</v>
      </c>
      <c r="L35" s="511">
        <f>SUM(L21:L34)</f>
        <v>899.5</v>
      </c>
      <c r="M35" s="483">
        <f t="shared" si="4"/>
        <v>2782114.508060033</v>
      </c>
      <c r="N35" s="486" t="s">
        <v>281</v>
      </c>
    </row>
    <row r="36" spans="1:14" ht="15" customHeight="1">
      <c r="A36" s="530" t="s">
        <v>194</v>
      </c>
      <c r="B36" s="513">
        <v>263111</v>
      </c>
      <c r="C36" s="474">
        <f aca="true" t="shared" si="13" ref="C36:C47">B36-D36</f>
        <v>58537</v>
      </c>
      <c r="D36" s="514">
        <v>204574</v>
      </c>
      <c r="E36" s="437">
        <f>'ellátottak '!D36</f>
        <v>559.67</v>
      </c>
      <c r="F36" s="514">
        <f t="shared" si="10"/>
        <v>470118.1053120589</v>
      </c>
      <c r="G36" s="514">
        <f aca="true" t="shared" si="14" ref="G36:G47">F36-$F$48</f>
        <v>-556.3002233594889</v>
      </c>
      <c r="H36" s="514">
        <f t="shared" si="11"/>
        <v>104591.99170940019</v>
      </c>
      <c r="I36" s="514">
        <f aca="true" t="shared" si="15" ref="I36:I47">H36-$H$48</f>
        <v>-14969.003773806195</v>
      </c>
      <c r="J36" s="514">
        <f t="shared" si="12"/>
        <v>365526.11360265873</v>
      </c>
      <c r="K36" s="514">
        <f aca="true" t="shared" si="16" ref="K36:K47">J36-$J$48</f>
        <v>14412.703550446779</v>
      </c>
      <c r="L36" s="573">
        <f>'Álláshelyek száma'!D44</f>
        <v>66</v>
      </c>
      <c r="M36" s="514">
        <f t="shared" si="4"/>
        <v>3099606.0606060605</v>
      </c>
      <c r="N36" s="517">
        <f aca="true" t="shared" si="17" ref="N36:N47">M36-$M$48</f>
        <v>231382.3852960267</v>
      </c>
    </row>
    <row r="37" spans="1:14" ht="15" customHeight="1">
      <c r="A37" s="524" t="s">
        <v>195</v>
      </c>
      <c r="B37" s="519">
        <v>304258</v>
      </c>
      <c r="C37" s="474">
        <f t="shared" si="13"/>
        <v>67514</v>
      </c>
      <c r="D37" s="520">
        <v>236744</v>
      </c>
      <c r="E37" s="437">
        <f>'ellátottak '!D37</f>
        <v>531</v>
      </c>
      <c r="F37" s="520">
        <f t="shared" si="10"/>
        <v>572990.5838041431</v>
      </c>
      <c r="G37" s="520">
        <f t="shared" si="14"/>
        <v>102316.17826872476</v>
      </c>
      <c r="H37" s="520">
        <f t="shared" si="11"/>
        <v>127145.00941619586</v>
      </c>
      <c r="I37" s="520">
        <f t="shared" si="15"/>
        <v>7584.013932989474</v>
      </c>
      <c r="J37" s="520">
        <f t="shared" si="12"/>
        <v>445845.5743879473</v>
      </c>
      <c r="K37" s="520">
        <f t="shared" si="16"/>
        <v>94732.16433573532</v>
      </c>
      <c r="L37" s="573">
        <f>'Álláshelyek száma'!D45</f>
        <v>68.75</v>
      </c>
      <c r="M37" s="520">
        <f t="shared" si="4"/>
        <v>3443549.090909091</v>
      </c>
      <c r="N37" s="521">
        <f t="shared" si="17"/>
        <v>575325.415599057</v>
      </c>
    </row>
    <row r="38" spans="1:14" ht="24">
      <c r="A38" s="532" t="s">
        <v>196</v>
      </c>
      <c r="B38" s="519">
        <v>317739</v>
      </c>
      <c r="C38" s="474">
        <f t="shared" si="13"/>
        <v>73484</v>
      </c>
      <c r="D38" s="520">
        <v>244255</v>
      </c>
      <c r="E38" s="437">
        <f>'ellátottak '!D38</f>
        <v>696</v>
      </c>
      <c r="F38" s="520">
        <f t="shared" si="10"/>
        <v>456521.5517241379</v>
      </c>
      <c r="G38" s="520">
        <f t="shared" si="14"/>
        <v>-14152.853811280453</v>
      </c>
      <c r="H38" s="520">
        <f t="shared" si="11"/>
        <v>105580.45977011495</v>
      </c>
      <c r="I38" s="520">
        <f t="shared" si="15"/>
        <v>-13980.535713091434</v>
      </c>
      <c r="J38" s="520">
        <f t="shared" si="12"/>
        <v>350941.09195402294</v>
      </c>
      <c r="K38" s="520">
        <f t="shared" si="16"/>
        <v>-172.3180981890182</v>
      </c>
      <c r="L38" s="573">
        <f>'Álláshelyek száma'!D46</f>
        <v>80</v>
      </c>
      <c r="M38" s="520">
        <f t="shared" si="4"/>
        <v>3053187.5</v>
      </c>
      <c r="N38" s="521">
        <f t="shared" si="17"/>
        <v>184963.82468996616</v>
      </c>
    </row>
    <row r="39" spans="1:14" ht="24">
      <c r="A39" s="532" t="s">
        <v>245</v>
      </c>
      <c r="B39" s="519">
        <v>322569</v>
      </c>
      <c r="C39" s="474">
        <f t="shared" si="13"/>
        <v>74726</v>
      </c>
      <c r="D39" s="520">
        <v>247843</v>
      </c>
      <c r="E39" s="437">
        <f>'ellátottak '!D39</f>
        <v>747</v>
      </c>
      <c r="F39" s="520">
        <f t="shared" si="10"/>
        <v>431819.2771084337</v>
      </c>
      <c r="G39" s="520">
        <f t="shared" si="14"/>
        <v>-38855.12842698465</v>
      </c>
      <c r="H39" s="520">
        <f t="shared" si="11"/>
        <v>100034.80589022758</v>
      </c>
      <c r="I39" s="520">
        <f t="shared" si="15"/>
        <v>-19526.1895929788</v>
      </c>
      <c r="J39" s="520">
        <f t="shared" si="12"/>
        <v>331784.47121820616</v>
      </c>
      <c r="K39" s="520">
        <f t="shared" si="16"/>
        <v>-19328.938834005792</v>
      </c>
      <c r="L39" s="573">
        <f>'Álláshelyek száma'!D47</f>
        <v>91</v>
      </c>
      <c r="M39" s="520">
        <f t="shared" si="4"/>
        <v>2723549.4505494507</v>
      </c>
      <c r="N39" s="521">
        <f t="shared" si="17"/>
        <v>-144674.22476058314</v>
      </c>
    </row>
    <row r="40" spans="1:14" ht="26.25" customHeight="1">
      <c r="A40" s="533" t="s">
        <v>198</v>
      </c>
      <c r="B40" s="519">
        <v>190590</v>
      </c>
      <c r="C40" s="474">
        <f t="shared" si="13"/>
        <v>42758</v>
      </c>
      <c r="D40" s="520">
        <v>147832</v>
      </c>
      <c r="E40" s="437">
        <f>'ellátottak '!D40</f>
        <v>348.4</v>
      </c>
      <c r="F40" s="520">
        <f t="shared" si="10"/>
        <v>547043.6280137773</v>
      </c>
      <c r="G40" s="520">
        <f t="shared" si="14"/>
        <v>76369.22247835895</v>
      </c>
      <c r="H40" s="520">
        <f t="shared" si="11"/>
        <v>122726.75086107923</v>
      </c>
      <c r="I40" s="520">
        <f t="shared" si="15"/>
        <v>3165.755377872847</v>
      </c>
      <c r="J40" s="520">
        <f t="shared" si="12"/>
        <v>424316.87715269806</v>
      </c>
      <c r="K40" s="520">
        <f t="shared" si="16"/>
        <v>73203.4671004861</v>
      </c>
      <c r="L40" s="573">
        <f>'Álláshelyek száma'!D48</f>
        <v>54.25</v>
      </c>
      <c r="M40" s="520">
        <f t="shared" si="4"/>
        <v>2725013.8248847923</v>
      </c>
      <c r="N40" s="521">
        <f t="shared" si="17"/>
        <v>-143209.85042524152</v>
      </c>
    </row>
    <row r="41" spans="1:14" ht="24">
      <c r="A41" s="534" t="s">
        <v>200</v>
      </c>
      <c r="B41" s="519">
        <v>285884</v>
      </c>
      <c r="C41" s="474">
        <f t="shared" si="13"/>
        <v>57822</v>
      </c>
      <c r="D41" s="520">
        <v>228062</v>
      </c>
      <c r="E41" s="421">
        <f>'ellátottak '!D42</f>
        <v>723.5</v>
      </c>
      <c r="F41" s="520">
        <f t="shared" si="10"/>
        <v>395140.29025570146</v>
      </c>
      <c r="G41" s="520">
        <f t="shared" si="14"/>
        <v>-75534.1152797169</v>
      </c>
      <c r="H41" s="520">
        <f t="shared" si="11"/>
        <v>79919.83413959917</v>
      </c>
      <c r="I41" s="520">
        <f t="shared" si="15"/>
        <v>-39641.16134360721</v>
      </c>
      <c r="J41" s="520">
        <f t="shared" si="12"/>
        <v>315220.4561161023</v>
      </c>
      <c r="K41" s="520">
        <f t="shared" si="16"/>
        <v>-35892.95393610967</v>
      </c>
      <c r="L41" s="571">
        <f>'Álláshelyek száma'!D50</f>
        <v>80.75</v>
      </c>
      <c r="M41" s="520">
        <f t="shared" si="4"/>
        <v>2824297.213622291</v>
      </c>
      <c r="N41" s="521">
        <f t="shared" si="17"/>
        <v>-43926.46168774273</v>
      </c>
    </row>
    <row r="42" spans="1:14" ht="24">
      <c r="A42" s="536" t="s">
        <v>201</v>
      </c>
      <c r="B42" s="519">
        <v>570914</v>
      </c>
      <c r="C42" s="474">
        <f t="shared" si="13"/>
        <v>151389</v>
      </c>
      <c r="D42" s="520">
        <v>419525</v>
      </c>
      <c r="E42" s="421">
        <f>'ellátottak '!D43</f>
        <v>1200.8</v>
      </c>
      <c r="F42" s="520">
        <f t="shared" si="10"/>
        <v>475444.7035309794</v>
      </c>
      <c r="G42" s="520">
        <f t="shared" si="14"/>
        <v>4770.297995561035</v>
      </c>
      <c r="H42" s="520">
        <f t="shared" si="11"/>
        <v>126073.45103264491</v>
      </c>
      <c r="I42" s="520">
        <f t="shared" si="15"/>
        <v>6512.455549438528</v>
      </c>
      <c r="J42" s="520">
        <f t="shared" si="12"/>
        <v>349371.25249833445</v>
      </c>
      <c r="K42" s="520">
        <f t="shared" si="16"/>
        <v>-1742.1575538775069</v>
      </c>
      <c r="L42" s="571">
        <f>'Álláshelyek száma'!D51</f>
        <v>147.75</v>
      </c>
      <c r="M42" s="520">
        <f t="shared" si="4"/>
        <v>2839424.703891709</v>
      </c>
      <c r="N42" s="521">
        <f t="shared" si="17"/>
        <v>-28798.971418324858</v>
      </c>
    </row>
    <row r="43" spans="1:14" ht="24">
      <c r="A43" s="536" t="s">
        <v>202</v>
      </c>
      <c r="B43" s="519">
        <v>322117</v>
      </c>
      <c r="C43" s="474">
        <f t="shared" si="13"/>
        <v>81848</v>
      </c>
      <c r="D43" s="520">
        <v>240269</v>
      </c>
      <c r="E43" s="421">
        <f>'ellátottak '!D44</f>
        <v>594.33</v>
      </c>
      <c r="F43" s="520">
        <f t="shared" si="10"/>
        <v>541983.4098901283</v>
      </c>
      <c r="G43" s="520">
        <f t="shared" si="14"/>
        <v>71309.00435470993</v>
      </c>
      <c r="H43" s="520">
        <f t="shared" si="11"/>
        <v>137714.73760368818</v>
      </c>
      <c r="I43" s="520">
        <f t="shared" si="15"/>
        <v>18153.742120481795</v>
      </c>
      <c r="J43" s="520">
        <f t="shared" si="12"/>
        <v>404268.67228644015</v>
      </c>
      <c r="K43" s="520">
        <f t="shared" si="16"/>
        <v>53155.2622342282</v>
      </c>
      <c r="L43" s="571">
        <f>'Álláshelyek száma'!D52</f>
        <v>76.25</v>
      </c>
      <c r="M43" s="520">
        <f t="shared" si="4"/>
        <v>3151068.8524590163</v>
      </c>
      <c r="N43" s="521">
        <f t="shared" si="17"/>
        <v>282845.1771489824</v>
      </c>
    </row>
    <row r="44" spans="1:14" ht="36">
      <c r="A44" s="496" t="s">
        <v>203</v>
      </c>
      <c r="B44" s="519">
        <v>513593</v>
      </c>
      <c r="C44" s="474">
        <f t="shared" si="13"/>
        <v>108200</v>
      </c>
      <c r="D44" s="520">
        <v>405393</v>
      </c>
      <c r="E44" s="421">
        <f>'ellátottak '!D45</f>
        <v>1157.67</v>
      </c>
      <c r="F44" s="520">
        <f t="shared" si="10"/>
        <v>443643.698117771</v>
      </c>
      <c r="G44" s="520">
        <f t="shared" si="14"/>
        <v>-27030.707417647354</v>
      </c>
      <c r="H44" s="520">
        <f t="shared" si="11"/>
        <v>93463.59497957103</v>
      </c>
      <c r="I44" s="520">
        <f t="shared" si="15"/>
        <v>-26097.40050363535</v>
      </c>
      <c r="J44" s="520">
        <f t="shared" si="12"/>
        <v>350180.10313819995</v>
      </c>
      <c r="K44" s="520">
        <f t="shared" si="16"/>
        <v>-933.306914012006</v>
      </c>
      <c r="L44" s="571">
        <f>'Álláshelyek száma'!D53</f>
        <v>140.5</v>
      </c>
      <c r="M44" s="520">
        <f t="shared" si="4"/>
        <v>2885359.430604982</v>
      </c>
      <c r="N44" s="521">
        <f t="shared" si="17"/>
        <v>17135.75529494835</v>
      </c>
    </row>
    <row r="45" spans="1:14" ht="24">
      <c r="A45" s="526" t="s">
        <v>204</v>
      </c>
      <c r="B45" s="519">
        <v>349798</v>
      </c>
      <c r="C45" s="474">
        <f t="shared" si="13"/>
        <v>80966</v>
      </c>
      <c r="D45" s="520">
        <v>268832</v>
      </c>
      <c r="E45" s="421">
        <f>'ellátottak '!D46</f>
        <v>881.27</v>
      </c>
      <c r="F45" s="520">
        <f t="shared" si="10"/>
        <v>396924.89248470956</v>
      </c>
      <c r="G45" s="520">
        <f t="shared" si="14"/>
        <v>-73749.5130507088</v>
      </c>
      <c r="H45" s="520">
        <f t="shared" si="11"/>
        <v>91874.2269678986</v>
      </c>
      <c r="I45" s="520">
        <f t="shared" si="15"/>
        <v>-27686.768515307776</v>
      </c>
      <c r="J45" s="520">
        <f t="shared" si="12"/>
        <v>305050.66551681096</v>
      </c>
      <c r="K45" s="520">
        <f t="shared" si="16"/>
        <v>-46062.744535401</v>
      </c>
      <c r="L45" s="571">
        <f>'Álláshelyek száma'!D54</f>
        <v>101</v>
      </c>
      <c r="M45" s="520">
        <f t="shared" si="4"/>
        <v>2661702.9702970297</v>
      </c>
      <c r="N45" s="521">
        <f t="shared" si="17"/>
        <v>-206520.70501300413</v>
      </c>
    </row>
    <row r="46" spans="1:14" ht="15.75" customHeight="1">
      <c r="A46" s="537" t="s">
        <v>205</v>
      </c>
      <c r="B46" s="519">
        <v>260337</v>
      </c>
      <c r="C46" s="474">
        <f t="shared" si="13"/>
        <v>49029</v>
      </c>
      <c r="D46" s="520">
        <v>211308</v>
      </c>
      <c r="E46" s="421">
        <f>'ellátottak '!D47</f>
        <v>688.67</v>
      </c>
      <c r="F46" s="520">
        <f t="shared" si="10"/>
        <v>378028.66394644754</v>
      </c>
      <c r="G46" s="520">
        <f t="shared" si="14"/>
        <v>-92645.74158897082</v>
      </c>
      <c r="H46" s="520">
        <f t="shared" si="11"/>
        <v>71193.75027226393</v>
      </c>
      <c r="I46" s="520">
        <f t="shared" si="15"/>
        <v>-48367.24521094245</v>
      </c>
      <c r="J46" s="520">
        <f t="shared" si="12"/>
        <v>306834.9136741836</v>
      </c>
      <c r="K46" s="520">
        <f t="shared" si="16"/>
        <v>-44278.49637802836</v>
      </c>
      <c r="L46" s="571">
        <f>'Álláshelyek száma'!D55</f>
        <v>80.75</v>
      </c>
      <c r="M46" s="520">
        <f t="shared" si="4"/>
        <v>2616817.3374613</v>
      </c>
      <c r="N46" s="521">
        <f t="shared" si="17"/>
        <v>-251406.33784873364</v>
      </c>
    </row>
    <row r="47" spans="1:14" ht="15.75" customHeight="1">
      <c r="A47" s="538" t="s">
        <v>207</v>
      </c>
      <c r="B47" s="528">
        <v>562134</v>
      </c>
      <c r="C47" s="474">
        <f t="shared" si="13"/>
        <v>236628</v>
      </c>
      <c r="D47" s="507">
        <v>325506</v>
      </c>
      <c r="E47" s="426">
        <f>'ellátottak '!D49</f>
        <v>929</v>
      </c>
      <c r="F47" s="507">
        <f t="shared" si="10"/>
        <v>605095.8019375673</v>
      </c>
      <c r="G47" s="507">
        <f t="shared" si="14"/>
        <v>134421.39640214894</v>
      </c>
      <c r="H47" s="507">
        <f t="shared" si="11"/>
        <v>254712.59418729818</v>
      </c>
      <c r="I47" s="507">
        <f t="shared" si="15"/>
        <v>135151.5987040918</v>
      </c>
      <c r="J47" s="507">
        <f t="shared" si="12"/>
        <v>350383.2077502691</v>
      </c>
      <c r="K47" s="507">
        <f t="shared" si="16"/>
        <v>-730.2023019428598</v>
      </c>
      <c r="L47" s="574">
        <f>'Álláshelyek száma'!D57</f>
        <v>121.75</v>
      </c>
      <c r="M47" s="507">
        <f t="shared" si="4"/>
        <v>2673560.574948665</v>
      </c>
      <c r="N47" s="509">
        <f t="shared" si="17"/>
        <v>-194663.10036136862</v>
      </c>
    </row>
    <row r="48" spans="1:14" ht="18" customHeight="1">
      <c r="A48" s="500" t="s">
        <v>206</v>
      </c>
      <c r="B48" s="483">
        <f>SUM(B36:B47)</f>
        <v>4263044</v>
      </c>
      <c r="C48" s="483">
        <f>SUM(C36:C47)</f>
        <v>1082901</v>
      </c>
      <c r="D48" s="483">
        <f>SUM(D36:D47)</f>
        <v>3180143</v>
      </c>
      <c r="E48" s="483">
        <f>SUM(E36:E47)</f>
        <v>9057.31</v>
      </c>
      <c r="F48" s="483">
        <f t="shared" si="10"/>
        <v>470674.40553541837</v>
      </c>
      <c r="G48" s="484" t="s">
        <v>281</v>
      </c>
      <c r="H48" s="483">
        <f t="shared" si="11"/>
        <v>119560.99548320638</v>
      </c>
      <c r="I48" s="484" t="s">
        <v>281</v>
      </c>
      <c r="J48" s="483">
        <f t="shared" si="12"/>
        <v>351113.41005221196</v>
      </c>
      <c r="K48" s="484" t="s">
        <v>281</v>
      </c>
      <c r="L48" s="511">
        <f>SUM(L36:L47)</f>
        <v>1108.75</v>
      </c>
      <c r="M48" s="483">
        <f t="shared" si="4"/>
        <v>2868223.675310034</v>
      </c>
      <c r="N48" s="486" t="s">
        <v>281</v>
      </c>
    </row>
    <row r="49" spans="1:14" ht="18" customHeight="1">
      <c r="A49" s="487" t="s">
        <v>263</v>
      </c>
      <c r="B49" s="513">
        <v>828615</v>
      </c>
      <c r="C49" s="474">
        <f>B49-D49</f>
        <v>750306</v>
      </c>
      <c r="D49" s="540">
        <v>78309</v>
      </c>
      <c r="E49" s="437">
        <v>0</v>
      </c>
      <c r="F49" s="514"/>
      <c r="G49" s="541"/>
      <c r="H49" s="514"/>
      <c r="I49" s="541"/>
      <c r="J49" s="514"/>
      <c r="K49" s="514"/>
      <c r="L49" s="573">
        <f>'Álláshelyek száma'!D60</f>
        <v>66</v>
      </c>
      <c r="M49" s="514">
        <f t="shared" si="4"/>
        <v>1186500</v>
      </c>
      <c r="N49" s="517">
        <f>M49-$M$51</f>
        <v>-462569.3069306931</v>
      </c>
    </row>
    <row r="50" spans="1:14" ht="24" customHeight="1">
      <c r="A50" s="542" t="s">
        <v>284</v>
      </c>
      <c r="B50" s="543">
        <v>121322</v>
      </c>
      <c r="C50" s="474">
        <f>B50-D50</f>
        <v>33075</v>
      </c>
      <c r="D50" s="507">
        <v>88247</v>
      </c>
      <c r="E50" s="426">
        <v>0</v>
      </c>
      <c r="F50" s="544"/>
      <c r="G50" s="545"/>
      <c r="H50" s="544"/>
      <c r="I50" s="545"/>
      <c r="J50" s="544"/>
      <c r="K50" s="544"/>
      <c r="L50" s="573">
        <f>'Álláshelyek száma'!D61</f>
        <v>35</v>
      </c>
      <c r="M50" s="507">
        <f t="shared" si="4"/>
        <v>2521342.8571428573</v>
      </c>
      <c r="N50" s="546">
        <f>M50-$M$51</f>
        <v>872273.5502121642</v>
      </c>
    </row>
    <row r="51" spans="1:14" ht="18" customHeight="1">
      <c r="A51" s="500" t="s">
        <v>265</v>
      </c>
      <c r="B51" s="483">
        <f>SUM(B49:B50)</f>
        <v>949937</v>
      </c>
      <c r="C51" s="483">
        <f>SUM(C49:C50)</f>
        <v>783381</v>
      </c>
      <c r="D51" s="483">
        <f>SUM(D49:D50)</f>
        <v>166556</v>
      </c>
      <c r="E51" s="483">
        <f>SUM(E49:E50)</f>
        <v>0</v>
      </c>
      <c r="F51" s="483">
        <f>SUM(F49:F50)</f>
        <v>0</v>
      </c>
      <c r="G51" s="484" t="s">
        <v>281</v>
      </c>
      <c r="H51" s="483">
        <f>SUM(H49:H50)</f>
        <v>0</v>
      </c>
      <c r="I51" s="484" t="s">
        <v>281</v>
      </c>
      <c r="J51" s="483">
        <f>SUM(J49:J50)</f>
        <v>0</v>
      </c>
      <c r="K51" s="484" t="s">
        <v>281</v>
      </c>
      <c r="L51" s="511">
        <f>SUM(L49:L50)</f>
        <v>101</v>
      </c>
      <c r="M51" s="483">
        <f t="shared" si="4"/>
        <v>1649069.306930693</v>
      </c>
      <c r="N51" s="486" t="s">
        <v>281</v>
      </c>
    </row>
    <row r="52" spans="1:14" ht="12.75">
      <c r="A52" s="547" t="s">
        <v>267</v>
      </c>
      <c r="B52" s="548">
        <v>709052</v>
      </c>
      <c r="C52" s="474">
        <f>B52-D52</f>
        <v>364358</v>
      </c>
      <c r="D52" s="548">
        <v>344694</v>
      </c>
      <c r="E52" s="548"/>
      <c r="F52" s="548"/>
      <c r="G52" s="548"/>
      <c r="H52" s="548"/>
      <c r="I52" s="548"/>
      <c r="J52" s="548"/>
      <c r="K52" s="548"/>
      <c r="L52" s="575">
        <f>'Álláshelyek száma'!D64</f>
        <v>64</v>
      </c>
      <c r="M52" s="548">
        <f t="shared" si="4"/>
        <v>5385843.75</v>
      </c>
      <c r="N52" s="521">
        <f>M52-$M$48</f>
        <v>2517620.074689966</v>
      </c>
    </row>
    <row r="53" spans="1:14" ht="19.5" customHeight="1">
      <c r="A53" s="500" t="s">
        <v>290</v>
      </c>
      <c r="B53" s="550">
        <f>SUM(B52)</f>
        <v>709052</v>
      </c>
      <c r="C53" s="550">
        <f>SUM(C52)</f>
        <v>364358</v>
      </c>
      <c r="D53" s="550">
        <f>SUM(D52)</f>
        <v>344694</v>
      </c>
      <c r="E53" s="550"/>
      <c r="F53" s="550"/>
      <c r="G53" s="484" t="s">
        <v>281</v>
      </c>
      <c r="H53" s="550"/>
      <c r="I53" s="484" t="s">
        <v>281</v>
      </c>
      <c r="J53" s="550"/>
      <c r="K53" s="484" t="s">
        <v>281</v>
      </c>
      <c r="L53" s="551">
        <f>SUM(L52)</f>
        <v>64</v>
      </c>
      <c r="M53" s="550">
        <f t="shared" si="4"/>
        <v>5385843.75</v>
      </c>
      <c r="N53" s="486" t="s">
        <v>281</v>
      </c>
    </row>
    <row r="54" spans="1:14" ht="21.75" customHeight="1">
      <c r="A54" s="500" t="s">
        <v>249</v>
      </c>
      <c r="B54" s="550">
        <f>SUM(B53,B51,B48,B35,B20,B15,B14,B8)</f>
        <v>13366857</v>
      </c>
      <c r="C54" s="483">
        <f>SUM(C53,C51,C48,C35,C20,C15,C14,C8)</f>
        <v>4286325</v>
      </c>
      <c r="D54" s="483">
        <f>SUM(D53,D51,D48,D35,D20,D15,D14,D8)</f>
        <v>9080532</v>
      </c>
      <c r="E54" s="550">
        <f>SUM(E53,E51,E48,E35,E20,E14,E8,E15)</f>
        <v>19312.48</v>
      </c>
      <c r="F54" s="550">
        <f>B54/E54*1000</f>
        <v>692135.7070661044</v>
      </c>
      <c r="G54" s="484" t="s">
        <v>281</v>
      </c>
      <c r="H54" s="550">
        <f>C54/E54*1000</f>
        <v>221945.86091480742</v>
      </c>
      <c r="I54" s="484" t="s">
        <v>281</v>
      </c>
      <c r="J54" s="550">
        <f>D54/E54*1000</f>
        <v>470189.846151297</v>
      </c>
      <c r="K54" s="484" t="s">
        <v>281</v>
      </c>
      <c r="L54" s="551">
        <f>SUM(L53,L51,L48,L35,L20,L15,L14,L8)</f>
        <v>3369.25</v>
      </c>
      <c r="M54" s="484" t="s">
        <v>281</v>
      </c>
      <c r="N54" s="486" t="s">
        <v>281</v>
      </c>
    </row>
    <row r="55" spans="2:12" ht="12.75">
      <c r="B55" s="562">
        <v>13475220</v>
      </c>
      <c r="D55" s="562">
        <v>9080532</v>
      </c>
      <c r="E55" s="562">
        <f>'ellátottak '!D51</f>
        <v>19312.479999999996</v>
      </c>
      <c r="L55" s="576">
        <f>'Álláshelyek száma'!D66</f>
        <v>3369.25</v>
      </c>
    </row>
    <row r="56" spans="1:4" ht="12.75" hidden="1">
      <c r="A56" s="559" t="s">
        <v>291</v>
      </c>
      <c r="B56" s="577"/>
      <c r="C56" s="577"/>
      <c r="D56" s="577"/>
    </row>
    <row r="57" spans="1:4" ht="12.75" hidden="1">
      <c r="A57" s="559" t="s">
        <v>291</v>
      </c>
      <c r="B57" s="577"/>
      <c r="C57" s="577"/>
      <c r="D57" s="577"/>
    </row>
    <row r="58" spans="1:4" ht="12.75" hidden="1">
      <c r="A58" s="559" t="s">
        <v>291</v>
      </c>
      <c r="B58" s="577"/>
      <c r="C58" s="577"/>
      <c r="D58" s="577"/>
    </row>
    <row r="59" spans="1:4" ht="12.75" hidden="1">
      <c r="A59" s="559" t="s">
        <v>291</v>
      </c>
      <c r="B59" s="577"/>
      <c r="C59" s="577"/>
      <c r="D59" s="577"/>
    </row>
    <row r="60" spans="1:4" ht="12.75" hidden="1">
      <c r="A60" s="559" t="s">
        <v>291</v>
      </c>
      <c r="B60" s="577"/>
      <c r="C60" s="577"/>
      <c r="D60" s="577"/>
    </row>
    <row r="61" spans="1:4" ht="12.75" hidden="1">
      <c r="A61" s="559" t="s">
        <v>291</v>
      </c>
      <c r="B61" s="577"/>
      <c r="C61" s="577"/>
      <c r="D61" s="577"/>
    </row>
    <row r="62" spans="1:4" ht="12.75" hidden="1">
      <c r="A62" s="559" t="s">
        <v>291</v>
      </c>
      <c r="B62" s="577"/>
      <c r="C62" s="577"/>
      <c r="D62" s="577"/>
    </row>
    <row r="63" spans="1:4" ht="12.75" hidden="1">
      <c r="A63" s="559" t="s">
        <v>291</v>
      </c>
      <c r="B63" s="577"/>
      <c r="C63" s="577"/>
      <c r="D63" s="577"/>
    </row>
    <row r="64" spans="1:4" ht="12.75" hidden="1">
      <c r="A64" s="559" t="s">
        <v>291</v>
      </c>
      <c r="B64" s="577"/>
      <c r="C64" s="577"/>
      <c r="D64" s="577"/>
    </row>
    <row r="65" ht="12.75" hidden="1"/>
    <row r="66" ht="12.75" hidden="1"/>
    <row r="67" spans="1:4" ht="12.75" hidden="1">
      <c r="A67" s="559" t="s">
        <v>291</v>
      </c>
      <c r="B67" s="577"/>
      <c r="C67" s="577"/>
      <c r="D67" s="577"/>
    </row>
    <row r="68" spans="1:4" ht="12.75" hidden="1">
      <c r="A68" s="559" t="s">
        <v>291</v>
      </c>
      <c r="B68" s="577"/>
      <c r="C68" s="577"/>
      <c r="D68" s="577"/>
    </row>
    <row r="69" spans="1:4" ht="12.75" hidden="1">
      <c r="A69" s="559" t="s">
        <v>291</v>
      </c>
      <c r="B69" s="577"/>
      <c r="C69" s="577"/>
      <c r="D69" s="577"/>
    </row>
    <row r="70" spans="1:4" ht="12.75" hidden="1">
      <c r="A70" s="559" t="s">
        <v>291</v>
      </c>
      <c r="B70" s="577"/>
      <c r="C70" s="577"/>
      <c r="D70" s="577"/>
    </row>
    <row r="71" spans="1:2" ht="12.75">
      <c r="A71" s="468" t="s">
        <v>292</v>
      </c>
      <c r="B71" s="562">
        <f>B55-B54</f>
        <v>108363</v>
      </c>
    </row>
    <row r="72" spans="1:4" ht="12.75" hidden="1">
      <c r="A72" s="559" t="s">
        <v>291</v>
      </c>
      <c r="B72" s="577"/>
      <c r="C72" s="577"/>
      <c r="D72" s="577"/>
    </row>
    <row r="73" spans="1:4" ht="12.75" hidden="1">
      <c r="A73" s="559" t="s">
        <v>291</v>
      </c>
      <c r="B73" s="577"/>
      <c r="C73" s="577"/>
      <c r="D73" s="577"/>
    </row>
    <row r="74" spans="1:4" ht="12.75" hidden="1">
      <c r="A74" s="559" t="s">
        <v>291</v>
      </c>
      <c r="B74" s="577"/>
      <c r="C74" s="577"/>
      <c r="D74" s="577"/>
    </row>
    <row r="75" spans="1:4" ht="12.75" hidden="1">
      <c r="A75" s="559" t="s">
        <v>291</v>
      </c>
      <c r="B75" s="577"/>
      <c r="C75" s="577"/>
      <c r="D75" s="577"/>
    </row>
    <row r="76" spans="1:4" ht="12.75" hidden="1">
      <c r="A76" s="559" t="s">
        <v>291</v>
      </c>
      <c r="B76" s="577"/>
      <c r="C76" s="577"/>
      <c r="D76" s="577"/>
    </row>
    <row r="77" spans="1:4" ht="12.75" hidden="1">
      <c r="A77" s="559" t="s">
        <v>291</v>
      </c>
      <c r="B77" s="577"/>
      <c r="C77" s="577"/>
      <c r="D77" s="577"/>
    </row>
    <row r="78" spans="1:4" ht="12.75" hidden="1">
      <c r="A78" s="559" t="s">
        <v>291</v>
      </c>
      <c r="B78" s="577"/>
      <c r="C78" s="577"/>
      <c r="D78" s="577"/>
    </row>
    <row r="79" spans="1:4" ht="12.75" hidden="1">
      <c r="A79" s="559" t="s">
        <v>291</v>
      </c>
      <c r="B79" s="577"/>
      <c r="C79" s="577"/>
      <c r="D79" s="577"/>
    </row>
    <row r="80" spans="1:4" ht="12.75" hidden="1">
      <c r="A80" s="559" t="s">
        <v>291</v>
      </c>
      <c r="B80" s="577"/>
      <c r="C80" s="577"/>
      <c r="D80" s="577"/>
    </row>
    <row r="81" spans="1:4" ht="12.75" hidden="1">
      <c r="A81" s="559" t="s">
        <v>291</v>
      </c>
      <c r="B81" s="577"/>
      <c r="C81" s="577"/>
      <c r="D81" s="577"/>
    </row>
    <row r="82" ht="12.75">
      <c r="B82" s="562">
        <f>B55-B71</f>
        <v>13366857</v>
      </c>
    </row>
  </sheetData>
  <mergeCells count="2">
    <mergeCell ref="A2:N2"/>
    <mergeCell ref="A1:N1"/>
  </mergeCells>
  <printOptions horizontalCentered="1"/>
  <pageMargins left="0.2" right="0.23" top="0.23" bottom="0.38" header="0.17" footer="0.34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O74"/>
  <sheetViews>
    <sheetView workbookViewId="0" topLeftCell="A1">
      <selection activeCell="C10" sqref="C10"/>
    </sheetView>
  </sheetViews>
  <sheetFormatPr defaultColWidth="9.140625" defaultRowHeight="12.75"/>
  <cols>
    <col min="1" max="1" width="24.7109375" style="578" customWidth="1"/>
    <col min="2" max="3" width="9.57421875" style="578" customWidth="1"/>
    <col min="4" max="4" width="8.8515625" style="578" customWidth="1"/>
    <col min="5" max="5" width="7.421875" style="578" customWidth="1"/>
    <col min="6" max="6" width="10.8515625" style="578" customWidth="1"/>
    <col min="7" max="8" width="8.8515625" style="578" customWidth="1"/>
    <col min="9" max="9" width="7.7109375" style="578" customWidth="1"/>
    <col min="10" max="10" width="10.00390625" style="578" customWidth="1"/>
    <col min="11" max="11" width="8.421875" style="578" customWidth="1"/>
    <col min="12" max="12" width="7.7109375" style="578" customWidth="1"/>
    <col min="13" max="13" width="10.57421875" style="578" customWidth="1"/>
    <col min="14" max="14" width="8.8515625" style="578" customWidth="1"/>
    <col min="15" max="16384" width="8.00390625" style="578" customWidth="1"/>
  </cols>
  <sheetData>
    <row r="1" spans="1:15" ht="15.75">
      <c r="A1" s="931" t="s">
        <v>293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579"/>
    </row>
    <row r="3" spans="1:14" ht="65.25" customHeight="1">
      <c r="A3" s="608" t="s">
        <v>294</v>
      </c>
      <c r="B3" s="609" t="s">
        <v>295</v>
      </c>
      <c r="C3" s="610" t="s">
        <v>296</v>
      </c>
      <c r="D3" s="609" t="s">
        <v>297</v>
      </c>
      <c r="E3" s="609" t="s">
        <v>274</v>
      </c>
      <c r="F3" s="609" t="s">
        <v>275</v>
      </c>
      <c r="G3" s="609" t="s">
        <v>276</v>
      </c>
      <c r="H3" s="611" t="s">
        <v>298</v>
      </c>
      <c r="I3" s="609" t="s">
        <v>276</v>
      </c>
      <c r="J3" s="609" t="s">
        <v>299</v>
      </c>
      <c r="K3" s="609" t="s">
        <v>276</v>
      </c>
      <c r="L3" s="609" t="s">
        <v>279</v>
      </c>
      <c r="M3" s="609" t="s">
        <v>300</v>
      </c>
      <c r="N3" s="609" t="s">
        <v>276</v>
      </c>
    </row>
    <row r="4" spans="1:14" ht="18.75" customHeight="1">
      <c r="A4" s="605" t="s">
        <v>254</v>
      </c>
      <c r="B4" s="606">
        <v>85716</v>
      </c>
      <c r="C4" s="606">
        <f>B4-D4</f>
        <v>42741</v>
      </c>
      <c r="D4" s="606">
        <v>42975</v>
      </c>
      <c r="E4" s="606"/>
      <c r="F4" s="606"/>
      <c r="G4" s="606"/>
      <c r="H4" s="606"/>
      <c r="I4" s="606"/>
      <c r="J4" s="606"/>
      <c r="K4" s="606"/>
      <c r="L4" s="607">
        <f>'Álláshelyek száma'!C8</f>
        <v>25</v>
      </c>
      <c r="M4" s="606">
        <f aca="true" t="shared" si="0" ref="M4:M56">(D4/L4)*1000</f>
        <v>1719000</v>
      </c>
      <c r="N4" s="606">
        <f>M4-$M$6</f>
        <v>-1462248.322147651</v>
      </c>
    </row>
    <row r="5" spans="1:14" ht="18.75" customHeight="1">
      <c r="A5" s="612" t="s">
        <v>255</v>
      </c>
      <c r="B5" s="613">
        <v>526728</v>
      </c>
      <c r="C5" s="613">
        <f>B5-D5</f>
        <v>95697</v>
      </c>
      <c r="D5" s="613">
        <v>431031</v>
      </c>
      <c r="E5" s="613"/>
      <c r="F5" s="613"/>
      <c r="G5" s="613"/>
      <c r="H5" s="613"/>
      <c r="I5" s="613"/>
      <c r="J5" s="613"/>
      <c r="K5" s="613"/>
      <c r="L5" s="607">
        <f>'Álláshelyek száma'!C9</f>
        <v>124</v>
      </c>
      <c r="M5" s="613">
        <f t="shared" si="0"/>
        <v>3476056.4516129033</v>
      </c>
      <c r="N5" s="613">
        <f>M5-$M$6</f>
        <v>294808.12946525216</v>
      </c>
    </row>
    <row r="6" spans="1:14" ht="18.75" customHeight="1">
      <c r="A6" s="618" t="s">
        <v>256</v>
      </c>
      <c r="B6" s="619">
        <f>SUM(B4:B5)</f>
        <v>612444</v>
      </c>
      <c r="C6" s="619">
        <f>SUM(C4:C5)</f>
        <v>138438</v>
      </c>
      <c r="D6" s="619">
        <f>SUM(D4:D5)</f>
        <v>474006</v>
      </c>
      <c r="E6" s="619"/>
      <c r="F6" s="619"/>
      <c r="G6" s="620" t="s">
        <v>281</v>
      </c>
      <c r="H6" s="619"/>
      <c r="I6" s="620" t="s">
        <v>281</v>
      </c>
      <c r="J6" s="619"/>
      <c r="K6" s="620" t="s">
        <v>281</v>
      </c>
      <c r="L6" s="621">
        <f>SUM(L4:L5)</f>
        <v>149</v>
      </c>
      <c r="M6" s="619">
        <f t="shared" si="0"/>
        <v>3181248.322147651</v>
      </c>
      <c r="N6" s="620" t="s">
        <v>281</v>
      </c>
    </row>
    <row r="7" spans="1:14" s="580" customFormat="1" ht="18" customHeight="1">
      <c r="A7" s="614" t="s">
        <v>209</v>
      </c>
      <c r="B7" s="615">
        <v>584727</v>
      </c>
      <c r="C7" s="606">
        <f>B7-D7</f>
        <v>202334</v>
      </c>
      <c r="D7" s="615">
        <v>382393</v>
      </c>
      <c r="E7" s="616">
        <f>'ellátottak '!C7</f>
        <v>301</v>
      </c>
      <c r="F7" s="615">
        <f>(B7/E7)*1000</f>
        <v>1942614.6179401993</v>
      </c>
      <c r="G7" s="615">
        <f>F7-$F$12</f>
        <v>229031.18456684984</v>
      </c>
      <c r="H7" s="615">
        <f>(C7/E7)*1000</f>
        <v>672205.9800664452</v>
      </c>
      <c r="I7" s="615">
        <f>H7-$H$12</f>
        <v>142626.14813367208</v>
      </c>
      <c r="J7" s="615">
        <f>(D7/E7)*1000</f>
        <v>1270408.6378737541</v>
      </c>
      <c r="K7" s="615">
        <f>J7-$J$12</f>
        <v>86405.036433178</v>
      </c>
      <c r="L7" s="617">
        <f>'Álláshelyek száma'!C12</f>
        <v>194</v>
      </c>
      <c r="M7" s="615">
        <f t="shared" si="0"/>
        <v>1971097.93814433</v>
      </c>
      <c r="N7" s="615">
        <f>M7-$M$12</f>
        <v>-138799.54084726656</v>
      </c>
    </row>
    <row r="8" spans="1:14" s="580" customFormat="1" ht="14.25" customHeight="1">
      <c r="A8" s="595" t="s">
        <v>210</v>
      </c>
      <c r="B8" s="596">
        <v>477358</v>
      </c>
      <c r="C8" s="594">
        <f>B8-D8</f>
        <v>108265</v>
      </c>
      <c r="D8" s="596">
        <v>369093</v>
      </c>
      <c r="E8" s="597">
        <f>'ellátottak '!C8</f>
        <v>362</v>
      </c>
      <c r="F8" s="596">
        <f>(B8/E8)*1000</f>
        <v>1318668.5082872927</v>
      </c>
      <c r="G8" s="596">
        <f>F8-$F$12</f>
        <v>-394914.9250860568</v>
      </c>
      <c r="H8" s="596">
        <f>(C8/E8)*1000</f>
        <v>299074.58563535917</v>
      </c>
      <c r="I8" s="596">
        <f>H8-$H$12</f>
        <v>-230505.24629741395</v>
      </c>
      <c r="J8" s="596">
        <f>(D8/E8)*1000</f>
        <v>1019593.9226519336</v>
      </c>
      <c r="K8" s="596">
        <f>J8-$J$12</f>
        <v>-164409.67878864252</v>
      </c>
      <c r="L8" s="617">
        <f>'Álláshelyek száma'!C13</f>
        <v>199</v>
      </c>
      <c r="M8" s="596">
        <f t="shared" si="0"/>
        <v>1854738.6934673365</v>
      </c>
      <c r="N8" s="596">
        <f>M8-$M$12</f>
        <v>-255158.78552426002</v>
      </c>
    </row>
    <row r="9" spans="1:14" s="580" customFormat="1" ht="18" customHeight="1">
      <c r="A9" s="595" t="s">
        <v>301</v>
      </c>
      <c r="B9" s="596">
        <v>111401</v>
      </c>
      <c r="C9" s="594">
        <f>B9-D9</f>
        <v>28149</v>
      </c>
      <c r="D9" s="596">
        <v>83252</v>
      </c>
      <c r="E9" s="597">
        <f>'ellátottak '!C9</f>
        <v>65</v>
      </c>
      <c r="F9" s="596">
        <f>(B9/E9)*1000</f>
        <v>1713861.5384615385</v>
      </c>
      <c r="G9" s="596">
        <f>F9-$F$12</f>
        <v>278.10508818901144</v>
      </c>
      <c r="H9" s="596">
        <f>(C9/E9)*1000</f>
        <v>433061.5384615385</v>
      </c>
      <c r="I9" s="596">
        <f>H9-$H$12</f>
        <v>-96518.29347123462</v>
      </c>
      <c r="J9" s="596">
        <f>(D9/E9)*1000</f>
        <v>1280800</v>
      </c>
      <c r="K9" s="596">
        <f>J9-$J$12</f>
        <v>96796.39855942386</v>
      </c>
      <c r="L9" s="617">
        <f>'Álláshelyek száma'!C14</f>
        <v>38</v>
      </c>
      <c r="M9" s="596">
        <f t="shared" si="0"/>
        <v>2190842.1052631577</v>
      </c>
      <c r="N9" s="596">
        <f>M9-$M$12</f>
        <v>80944.62627156125</v>
      </c>
    </row>
    <row r="10" spans="1:14" s="580" customFormat="1" ht="18" customHeight="1">
      <c r="A10" s="595" t="s">
        <v>212</v>
      </c>
      <c r="B10" s="596">
        <v>253929</v>
      </c>
      <c r="C10" s="594">
        <f>B10-D10</f>
        <v>102392</v>
      </c>
      <c r="D10" s="596">
        <v>151537</v>
      </c>
      <c r="E10" s="597">
        <f>'ellátottak '!C10</f>
        <v>105</v>
      </c>
      <c r="F10" s="596">
        <f>(B10/E10)*1000</f>
        <v>2418371.4285714286</v>
      </c>
      <c r="G10" s="596">
        <f>F10-$F$12</f>
        <v>704787.9951980792</v>
      </c>
      <c r="H10" s="596">
        <f>(C10/E10)*1000</f>
        <v>975161.9047619049</v>
      </c>
      <c r="I10" s="596">
        <f>H10-$H$12</f>
        <v>445582.07282913174</v>
      </c>
      <c r="J10" s="596">
        <f>(D10/E10)*1000</f>
        <v>1443209.5238095238</v>
      </c>
      <c r="K10" s="596">
        <f>J10-$J$12</f>
        <v>259205.92236894765</v>
      </c>
      <c r="L10" s="617">
        <f>'Álláshelyek száma'!C15</f>
        <v>53</v>
      </c>
      <c r="M10" s="596">
        <f t="shared" si="0"/>
        <v>2859188.679245283</v>
      </c>
      <c r="N10" s="596">
        <f>M10-$M$12</f>
        <v>749291.2002536864</v>
      </c>
    </row>
    <row r="11" spans="1:14" ht="18.75" customHeight="1">
      <c r="A11" s="622" t="s">
        <v>257</v>
      </c>
      <c r="B11" s="613">
        <v>390541</v>
      </c>
      <c r="C11" s="613">
        <f>B11-D11</f>
        <v>121427</v>
      </c>
      <c r="D11" s="613">
        <v>269114</v>
      </c>
      <c r="E11" s="613">
        <v>0</v>
      </c>
      <c r="F11" s="613"/>
      <c r="G11" s="613"/>
      <c r="H11" s="613"/>
      <c r="I11" s="613"/>
      <c r="J11" s="613"/>
      <c r="K11" s="613"/>
      <c r="L11" s="617">
        <f>'Álláshelyek száma'!C16</f>
        <v>111</v>
      </c>
      <c r="M11" s="613">
        <f t="shared" si="0"/>
        <v>2424450.45045045</v>
      </c>
      <c r="N11" s="623">
        <f>M11-$M$12</f>
        <v>314552.9714588537</v>
      </c>
    </row>
    <row r="12" spans="1:14" ht="17.25" customHeight="1">
      <c r="A12" s="624" t="s">
        <v>302</v>
      </c>
      <c r="B12" s="619">
        <f>SUM(B7:B11)</f>
        <v>1817956</v>
      </c>
      <c r="C12" s="619">
        <f>SUM(C7:C11)</f>
        <v>562567</v>
      </c>
      <c r="D12" s="619">
        <f>SUM(D7:D11)</f>
        <v>1255389</v>
      </c>
      <c r="E12" s="619">
        <f>SUM(E7:E11)</f>
        <v>833</v>
      </c>
      <c r="F12" s="619">
        <f>((SUM(B7:B10))/E12)*1000</f>
        <v>1713583.4333733495</v>
      </c>
      <c r="G12" s="620" t="s">
        <v>281</v>
      </c>
      <c r="H12" s="619">
        <f>((SUM(C7:C10))/E12)*1000</f>
        <v>529579.8319327731</v>
      </c>
      <c r="I12" s="620" t="s">
        <v>281</v>
      </c>
      <c r="J12" s="619">
        <f>((SUM(D7:D10))/E12)*1000</f>
        <v>1184003.6014405761</v>
      </c>
      <c r="K12" s="620" t="s">
        <v>281</v>
      </c>
      <c r="L12" s="621">
        <f>SUM(L7:L11)</f>
        <v>595</v>
      </c>
      <c r="M12" s="619">
        <f t="shared" si="0"/>
        <v>2109897.4789915965</v>
      </c>
      <c r="N12" s="620" t="s">
        <v>281</v>
      </c>
    </row>
    <row r="13" spans="1:14" ht="17.25" customHeight="1">
      <c r="A13" s="628" t="s">
        <v>282</v>
      </c>
      <c r="B13" s="619">
        <v>16363</v>
      </c>
      <c r="C13" s="629">
        <f>B13-D13</f>
        <v>12075</v>
      </c>
      <c r="D13" s="619">
        <v>4288</v>
      </c>
      <c r="E13" s="619"/>
      <c r="F13" s="630"/>
      <c r="G13" s="630"/>
      <c r="H13" s="630"/>
      <c r="I13" s="630"/>
      <c r="J13" s="630"/>
      <c r="K13" s="630"/>
      <c r="L13" s="621">
        <f>'Álláshelyek száma'!C18</f>
        <v>8</v>
      </c>
      <c r="M13" s="630">
        <f>(D13/L13)*1000</f>
        <v>536000</v>
      </c>
      <c r="N13" s="630">
        <f>M13-$M$18</f>
        <v>-1736687.7934272303</v>
      </c>
    </row>
    <row r="14" spans="1:14" s="580" customFormat="1" ht="15" customHeight="1">
      <c r="A14" s="625" t="s">
        <v>303</v>
      </c>
      <c r="B14" s="626">
        <v>289480</v>
      </c>
      <c r="C14" s="606">
        <f>B14-D14</f>
        <v>67157</v>
      </c>
      <c r="D14" s="615">
        <v>222323</v>
      </c>
      <c r="E14" s="627">
        <f>'ellátottak '!C13</f>
        <v>554</v>
      </c>
      <c r="F14" s="615">
        <f aca="true" t="shared" si="1" ref="F14:F50">(B14/E14)*1000</f>
        <v>522527.07581227436</v>
      </c>
      <c r="G14" s="615">
        <f>F14-$F$18</f>
        <v>14109.965701754496</v>
      </c>
      <c r="H14" s="615">
        <f aca="true" t="shared" si="2" ref="H14:H50">(C14/E14)*1000</f>
        <v>121222.02166064981</v>
      </c>
      <c r="I14" s="615">
        <f>H14-$H$18</f>
        <v>9106.589814558945</v>
      </c>
      <c r="J14" s="615">
        <f aca="true" t="shared" si="3" ref="J14:J50">(D14/E14)*1000</f>
        <v>401305.05415162456</v>
      </c>
      <c r="K14" s="615">
        <f>J14-$J$18</f>
        <v>5003.37588719558</v>
      </c>
      <c r="L14" s="617">
        <f>'Álláshelyek száma'!C20</f>
        <v>98</v>
      </c>
      <c r="M14" s="615">
        <f t="shared" si="0"/>
        <v>2268602.0408163266</v>
      </c>
      <c r="N14" s="615">
        <f>M14-$M$18</f>
        <v>-4085.752610903699</v>
      </c>
    </row>
    <row r="15" spans="1:14" s="580" customFormat="1" ht="15" customHeight="1">
      <c r="A15" s="599" t="s">
        <v>304</v>
      </c>
      <c r="B15" s="600">
        <v>341069</v>
      </c>
      <c r="C15" s="594">
        <f>B15-D15</f>
        <v>75558</v>
      </c>
      <c r="D15" s="596">
        <v>265511</v>
      </c>
      <c r="E15" s="627">
        <f>'ellátottak '!C14</f>
        <v>691</v>
      </c>
      <c r="F15" s="596">
        <f t="shared" si="1"/>
        <v>493587.5542691751</v>
      </c>
      <c r="G15" s="596">
        <f>F15-$F$18</f>
        <v>-14829.555841344758</v>
      </c>
      <c r="H15" s="596">
        <f t="shared" si="2"/>
        <v>109345.87554269176</v>
      </c>
      <c r="I15" s="596">
        <f>H15-$H$18</f>
        <v>-2769.5563033991057</v>
      </c>
      <c r="J15" s="596">
        <f t="shared" si="3"/>
        <v>384241.67872648337</v>
      </c>
      <c r="K15" s="596">
        <f>J15-$J$18</f>
        <v>-12059.999537945609</v>
      </c>
      <c r="L15" s="617">
        <f>'Álláshelyek száma'!C21</f>
        <v>119</v>
      </c>
      <c r="M15" s="596">
        <f t="shared" si="0"/>
        <v>2231184.87394958</v>
      </c>
      <c r="N15" s="596">
        <f>M15-$M$18</f>
        <v>-41502.91947765043</v>
      </c>
    </row>
    <row r="16" spans="1:14" s="580" customFormat="1" ht="15" customHeight="1">
      <c r="A16" s="599" t="s">
        <v>305</v>
      </c>
      <c r="B16" s="600">
        <v>297352</v>
      </c>
      <c r="C16" s="594">
        <f>B16-D16</f>
        <v>65691</v>
      </c>
      <c r="D16" s="596">
        <v>231661</v>
      </c>
      <c r="E16" s="627">
        <f>'ellátottak '!C15</f>
        <v>613</v>
      </c>
      <c r="F16" s="596">
        <f t="shared" si="1"/>
        <v>485076.67210440454</v>
      </c>
      <c r="G16" s="596">
        <f>F16-$F$18</f>
        <v>-23340.43800611532</v>
      </c>
      <c r="H16" s="596">
        <f t="shared" si="2"/>
        <v>107163.132137031</v>
      </c>
      <c r="I16" s="596">
        <f>H16-$H$18</f>
        <v>-4952.299709059866</v>
      </c>
      <c r="J16" s="596">
        <f t="shared" si="3"/>
        <v>377913.5399673736</v>
      </c>
      <c r="K16" s="596">
        <f>J16-$J$18</f>
        <v>-18388.138297055382</v>
      </c>
      <c r="L16" s="617">
        <f>'Álláshelyek száma'!C22</f>
        <v>102</v>
      </c>
      <c r="M16" s="596">
        <f t="shared" si="0"/>
        <v>2271186.274509804</v>
      </c>
      <c r="N16" s="596">
        <f>M16-$M$18</f>
        <v>-1501.518917426467</v>
      </c>
    </row>
    <row r="17" spans="1:14" s="580" customFormat="1" ht="15" customHeight="1">
      <c r="A17" s="631" t="s">
        <v>306</v>
      </c>
      <c r="B17" s="632">
        <v>314162</v>
      </c>
      <c r="C17" s="613">
        <f>B17-D17</f>
        <v>65492</v>
      </c>
      <c r="D17" s="623">
        <v>248670</v>
      </c>
      <c r="E17" s="627">
        <f>'ellátottak '!C16</f>
        <v>585</v>
      </c>
      <c r="F17" s="623">
        <f t="shared" si="1"/>
        <v>537029.0598290599</v>
      </c>
      <c r="G17" s="623">
        <f>F17-$F$18</f>
        <v>28611.94971854001</v>
      </c>
      <c r="H17" s="623">
        <f t="shared" si="2"/>
        <v>111952.13675213675</v>
      </c>
      <c r="I17" s="623">
        <f>H17-$H$18</f>
        <v>-163.29509395411878</v>
      </c>
      <c r="J17" s="623">
        <f t="shared" si="3"/>
        <v>425076.9230769231</v>
      </c>
      <c r="K17" s="623">
        <f>J17-$J$18</f>
        <v>28775.244812494144</v>
      </c>
      <c r="L17" s="617">
        <f>'Álláshelyek száma'!C23</f>
        <v>107</v>
      </c>
      <c r="M17" s="623">
        <f t="shared" si="0"/>
        <v>2324018.691588785</v>
      </c>
      <c r="N17" s="623">
        <f>M17-$M$18</f>
        <v>51330.89816155471</v>
      </c>
    </row>
    <row r="18" spans="1:14" s="580" customFormat="1" ht="18" customHeight="1">
      <c r="A18" s="637" t="s">
        <v>307</v>
      </c>
      <c r="B18" s="638">
        <f>SUM(B14:B17)</f>
        <v>1242063</v>
      </c>
      <c r="C18" s="638">
        <f>SUM(C14:C17)</f>
        <v>273898</v>
      </c>
      <c r="D18" s="638">
        <f>SUM(D14:D17)</f>
        <v>968165</v>
      </c>
      <c r="E18" s="638">
        <f>SUM(E14:E17)</f>
        <v>2443</v>
      </c>
      <c r="F18" s="638">
        <f t="shared" si="1"/>
        <v>508417.11011051986</v>
      </c>
      <c r="G18" s="620" t="s">
        <v>281</v>
      </c>
      <c r="H18" s="638">
        <f t="shared" si="2"/>
        <v>112115.43184609087</v>
      </c>
      <c r="I18" s="620" t="s">
        <v>281</v>
      </c>
      <c r="J18" s="638">
        <f t="shared" si="3"/>
        <v>396301.678264429</v>
      </c>
      <c r="K18" s="620" t="s">
        <v>281</v>
      </c>
      <c r="L18" s="639">
        <f>SUM(L14:L17)</f>
        <v>426</v>
      </c>
      <c r="M18" s="638">
        <f t="shared" si="0"/>
        <v>2272687.7934272303</v>
      </c>
      <c r="N18" s="620" t="s">
        <v>281</v>
      </c>
    </row>
    <row r="19" spans="1:14" s="580" customFormat="1" ht="18" customHeight="1">
      <c r="A19" s="614" t="s">
        <v>308</v>
      </c>
      <c r="B19" s="626">
        <v>408416</v>
      </c>
      <c r="C19" s="606">
        <f aca="true" t="shared" si="4" ref="C19:C34">B19-D19</f>
        <v>96555</v>
      </c>
      <c r="D19" s="615">
        <v>311861</v>
      </c>
      <c r="E19" s="635">
        <f>'ellátottak '!C19</f>
        <v>631</v>
      </c>
      <c r="F19" s="615">
        <f t="shared" si="1"/>
        <v>647251.9809825674</v>
      </c>
      <c r="G19" s="615">
        <f aca="true" t="shared" si="5" ref="G19:G33">F19-$F$35</f>
        <v>175902.30730599014</v>
      </c>
      <c r="H19" s="615">
        <f t="shared" si="2"/>
        <v>153019.0174326466</v>
      </c>
      <c r="I19" s="615">
        <f aca="true" t="shared" si="6" ref="I19:I33">H19-$H$35</f>
        <v>40691.968846714764</v>
      </c>
      <c r="J19" s="615">
        <f t="shared" si="3"/>
        <v>494232.96354992077</v>
      </c>
      <c r="K19" s="615">
        <f aca="true" t="shared" si="7" ref="K19:K33">J19-$J$35</f>
        <v>135210.33845927537</v>
      </c>
      <c r="L19" s="636">
        <f>'Álláshelyek száma'!C26</f>
        <v>137</v>
      </c>
      <c r="M19" s="615">
        <f t="shared" si="0"/>
        <v>2276357.6642335765</v>
      </c>
      <c r="N19" s="615">
        <f aca="true" t="shared" si="8" ref="N19:N34">M19-$M$35</f>
        <v>-19988.346898148768</v>
      </c>
    </row>
    <row r="20" spans="1:14" s="580" customFormat="1" ht="18" customHeight="1">
      <c r="A20" s="595" t="s">
        <v>181</v>
      </c>
      <c r="B20" s="600">
        <v>248022</v>
      </c>
      <c r="C20" s="594">
        <f t="shared" si="4"/>
        <v>62006</v>
      </c>
      <c r="D20" s="596">
        <v>186016</v>
      </c>
      <c r="E20" s="601">
        <f>'ellátottak '!C21</f>
        <v>672</v>
      </c>
      <c r="F20" s="596">
        <f t="shared" si="1"/>
        <v>369080.35714285716</v>
      </c>
      <c r="G20" s="596">
        <f t="shared" si="5"/>
        <v>-102269.31653372012</v>
      </c>
      <c r="H20" s="596">
        <f t="shared" si="2"/>
        <v>92270.83333333333</v>
      </c>
      <c r="I20" s="596">
        <f t="shared" si="6"/>
        <v>-20056.2152525985</v>
      </c>
      <c r="J20" s="596">
        <f t="shared" si="3"/>
        <v>276809.5238095238</v>
      </c>
      <c r="K20" s="596">
        <f t="shared" si="7"/>
        <v>-82213.1012811216</v>
      </c>
      <c r="L20" s="598">
        <f>'Álláshelyek száma'!C28</f>
        <v>68</v>
      </c>
      <c r="M20" s="596">
        <f t="shared" si="0"/>
        <v>2735529.411764706</v>
      </c>
      <c r="N20" s="596">
        <f t="shared" si="8"/>
        <v>439183.40063298075</v>
      </c>
    </row>
    <row r="21" spans="1:14" s="580" customFormat="1" ht="18" customHeight="1">
      <c r="A21" s="595" t="s">
        <v>182</v>
      </c>
      <c r="B21" s="600">
        <v>182497</v>
      </c>
      <c r="C21" s="594">
        <f t="shared" si="4"/>
        <v>50658</v>
      </c>
      <c r="D21" s="596">
        <v>131839</v>
      </c>
      <c r="E21" s="601">
        <f>'ellátottak '!C22</f>
        <v>464</v>
      </c>
      <c r="F21" s="596">
        <f t="shared" si="1"/>
        <v>393312.5</v>
      </c>
      <c r="G21" s="596">
        <f t="shared" si="5"/>
        <v>-78037.17367657728</v>
      </c>
      <c r="H21" s="596">
        <f t="shared" si="2"/>
        <v>109176.72413793103</v>
      </c>
      <c r="I21" s="596">
        <f t="shared" si="6"/>
        <v>-3150.3244480007997</v>
      </c>
      <c r="J21" s="596">
        <f t="shared" si="3"/>
        <v>284135.7758620689</v>
      </c>
      <c r="K21" s="596">
        <f t="shared" si="7"/>
        <v>-74886.84922857647</v>
      </c>
      <c r="L21" s="598">
        <f>'Álláshelyek száma'!C29</f>
        <v>48</v>
      </c>
      <c r="M21" s="596">
        <f t="shared" si="0"/>
        <v>2746645.8333333335</v>
      </c>
      <c r="N21" s="596">
        <f t="shared" si="8"/>
        <v>450299.8222016082</v>
      </c>
    </row>
    <row r="22" spans="1:14" s="580" customFormat="1" ht="18" customHeight="1">
      <c r="A22" s="595" t="s">
        <v>183</v>
      </c>
      <c r="B22" s="600">
        <v>193033</v>
      </c>
      <c r="C22" s="594">
        <f t="shared" si="4"/>
        <v>51354</v>
      </c>
      <c r="D22" s="596">
        <v>141679</v>
      </c>
      <c r="E22" s="601">
        <f>'ellátottak '!C23</f>
        <v>507</v>
      </c>
      <c r="F22" s="596">
        <f t="shared" si="1"/>
        <v>380735.70019723865</v>
      </c>
      <c r="G22" s="596">
        <f t="shared" si="5"/>
        <v>-90613.97347933863</v>
      </c>
      <c r="H22" s="596">
        <f t="shared" si="2"/>
        <v>101289.94082840237</v>
      </c>
      <c r="I22" s="596">
        <f t="shared" si="6"/>
        <v>-11037.107757529462</v>
      </c>
      <c r="J22" s="596">
        <f t="shared" si="3"/>
        <v>279445.75936883624</v>
      </c>
      <c r="K22" s="596">
        <f t="shared" si="7"/>
        <v>-79576.86572180915</v>
      </c>
      <c r="L22" s="598">
        <f>'Álláshelyek száma'!C30</f>
        <v>53</v>
      </c>
      <c r="M22" s="596">
        <f t="shared" si="0"/>
        <v>2673188.679245283</v>
      </c>
      <c r="N22" s="596">
        <f t="shared" si="8"/>
        <v>376842.6681135576</v>
      </c>
    </row>
    <row r="23" spans="1:14" s="580" customFormat="1" ht="18" customHeight="1">
      <c r="A23" s="595" t="s">
        <v>309</v>
      </c>
      <c r="B23" s="600">
        <v>228834</v>
      </c>
      <c r="C23" s="594">
        <f t="shared" si="4"/>
        <v>58804</v>
      </c>
      <c r="D23" s="596">
        <v>170030</v>
      </c>
      <c r="E23" s="601">
        <f>'ellátottak '!C24</f>
        <v>552</v>
      </c>
      <c r="F23" s="596">
        <f t="shared" si="1"/>
        <v>414554.3478260869</v>
      </c>
      <c r="G23" s="596">
        <f t="shared" si="5"/>
        <v>-56795.325850490364</v>
      </c>
      <c r="H23" s="596">
        <f t="shared" si="2"/>
        <v>106528.98550724637</v>
      </c>
      <c r="I23" s="596">
        <f t="shared" si="6"/>
        <v>-5798.06307868546</v>
      </c>
      <c r="J23" s="596">
        <f t="shared" si="3"/>
        <v>308025.3623188406</v>
      </c>
      <c r="K23" s="596">
        <f t="shared" si="7"/>
        <v>-50997.26277180482</v>
      </c>
      <c r="L23" s="598">
        <f>'Álláshelyek száma'!C31</f>
        <v>57</v>
      </c>
      <c r="M23" s="596">
        <f t="shared" si="0"/>
        <v>2982982.4561403506</v>
      </c>
      <c r="N23" s="596">
        <f t="shared" si="8"/>
        <v>686636.4450086253</v>
      </c>
    </row>
    <row r="24" spans="1:14" s="580" customFormat="1" ht="18" customHeight="1">
      <c r="A24" s="595" t="s">
        <v>310</v>
      </c>
      <c r="B24" s="600">
        <v>169296</v>
      </c>
      <c r="C24" s="594">
        <f t="shared" si="4"/>
        <v>34718</v>
      </c>
      <c r="D24" s="596">
        <v>134578</v>
      </c>
      <c r="E24" s="601">
        <f>'ellátottak '!C25</f>
        <v>283</v>
      </c>
      <c r="F24" s="596">
        <f t="shared" si="1"/>
        <v>598219.0812720848</v>
      </c>
      <c r="G24" s="596">
        <f t="shared" si="5"/>
        <v>126869.40759550757</v>
      </c>
      <c r="H24" s="596">
        <f t="shared" si="2"/>
        <v>122678.44522968198</v>
      </c>
      <c r="I24" s="596">
        <f t="shared" si="6"/>
        <v>10351.396643750151</v>
      </c>
      <c r="J24" s="596">
        <f t="shared" si="3"/>
        <v>475540.6360424028</v>
      </c>
      <c r="K24" s="596">
        <f t="shared" si="7"/>
        <v>116518.01095175743</v>
      </c>
      <c r="L24" s="598">
        <f>'Álláshelyek száma'!C32</f>
        <v>46</v>
      </c>
      <c r="M24" s="596">
        <f t="shared" si="0"/>
        <v>2925608.695652174</v>
      </c>
      <c r="N24" s="596">
        <f t="shared" si="8"/>
        <v>629262.6845204486</v>
      </c>
    </row>
    <row r="25" spans="1:14" s="580" customFormat="1" ht="18" customHeight="1">
      <c r="A25" s="595" t="s">
        <v>311</v>
      </c>
      <c r="B25" s="600">
        <v>179005</v>
      </c>
      <c r="C25" s="594">
        <f t="shared" si="4"/>
        <v>39783</v>
      </c>
      <c r="D25" s="596">
        <v>139222</v>
      </c>
      <c r="E25" s="601">
        <f>'ellátottak '!C26</f>
        <v>482</v>
      </c>
      <c r="F25" s="596">
        <f t="shared" si="1"/>
        <v>371379.6680497925</v>
      </c>
      <c r="G25" s="596">
        <f t="shared" si="5"/>
        <v>-99970.00562678475</v>
      </c>
      <c r="H25" s="596">
        <f t="shared" si="2"/>
        <v>82537.34439834025</v>
      </c>
      <c r="I25" s="596">
        <f t="shared" si="6"/>
        <v>-29789.704187591575</v>
      </c>
      <c r="J25" s="596">
        <f t="shared" si="3"/>
        <v>288842.32365145226</v>
      </c>
      <c r="K25" s="596">
        <f t="shared" si="7"/>
        <v>-70180.30143919314</v>
      </c>
      <c r="L25" s="598">
        <f>'Álláshelyek száma'!C33</f>
        <v>51</v>
      </c>
      <c r="M25" s="596">
        <f t="shared" si="0"/>
        <v>2729843.137254902</v>
      </c>
      <c r="N25" s="596">
        <f t="shared" si="8"/>
        <v>433497.1261231769</v>
      </c>
    </row>
    <row r="26" spans="1:14" s="580" customFormat="1" ht="18" customHeight="1">
      <c r="A26" s="595" t="s">
        <v>312</v>
      </c>
      <c r="B26" s="600">
        <v>322330</v>
      </c>
      <c r="C26" s="594">
        <f t="shared" si="4"/>
        <v>85620</v>
      </c>
      <c r="D26" s="596">
        <v>236710</v>
      </c>
      <c r="E26" s="601">
        <f>'ellátottak '!C27</f>
        <v>749</v>
      </c>
      <c r="F26" s="596">
        <f t="shared" si="1"/>
        <v>430347.129506008</v>
      </c>
      <c r="G26" s="596">
        <f t="shared" si="5"/>
        <v>-41002.54417056928</v>
      </c>
      <c r="H26" s="596">
        <f t="shared" si="2"/>
        <v>114312.41655540721</v>
      </c>
      <c r="I26" s="596">
        <f t="shared" si="6"/>
        <v>1985.367969475381</v>
      </c>
      <c r="J26" s="596">
        <f t="shared" si="3"/>
        <v>316034.7129506008</v>
      </c>
      <c r="K26" s="596">
        <f t="shared" si="7"/>
        <v>-42987.91214004462</v>
      </c>
      <c r="L26" s="598">
        <f>'Álláshelyek száma'!C34</f>
        <v>94</v>
      </c>
      <c r="M26" s="596">
        <f t="shared" si="0"/>
        <v>2518191.489361702</v>
      </c>
      <c r="N26" s="596">
        <f t="shared" si="8"/>
        <v>221845.47822997672</v>
      </c>
    </row>
    <row r="27" spans="1:14" s="580" customFormat="1" ht="18" customHeight="1">
      <c r="A27" s="595" t="s">
        <v>313</v>
      </c>
      <c r="B27" s="596">
        <v>117483</v>
      </c>
      <c r="C27" s="594">
        <f t="shared" si="4"/>
        <v>16951</v>
      </c>
      <c r="D27" s="596">
        <v>100532</v>
      </c>
      <c r="E27" s="601">
        <f>'ellátottak '!C28</f>
        <v>275</v>
      </c>
      <c r="F27" s="596">
        <f t="shared" si="1"/>
        <v>427210.90909090906</v>
      </c>
      <c r="G27" s="596">
        <f t="shared" si="5"/>
        <v>-44138.76458566822</v>
      </c>
      <c r="H27" s="596">
        <f t="shared" si="2"/>
        <v>61640</v>
      </c>
      <c r="I27" s="596">
        <f t="shared" si="6"/>
        <v>-50687.04858593183</v>
      </c>
      <c r="J27" s="596">
        <f t="shared" si="3"/>
        <v>365570.90909090906</v>
      </c>
      <c r="K27" s="596">
        <f t="shared" si="7"/>
        <v>6548.284000263666</v>
      </c>
      <c r="L27" s="598">
        <f>'Álláshelyek száma'!C35</f>
        <v>51</v>
      </c>
      <c r="M27" s="596">
        <f t="shared" si="0"/>
        <v>1971215.6862745099</v>
      </c>
      <c r="N27" s="596">
        <f t="shared" si="8"/>
        <v>-325130.3248572154</v>
      </c>
    </row>
    <row r="28" spans="1:14" s="580" customFormat="1" ht="18" customHeight="1">
      <c r="A28" s="602" t="s">
        <v>314</v>
      </c>
      <c r="B28" s="596">
        <v>200882</v>
      </c>
      <c r="C28" s="594">
        <f t="shared" si="4"/>
        <v>33293</v>
      </c>
      <c r="D28" s="596">
        <v>167589</v>
      </c>
      <c r="E28" s="601">
        <f>'ellátottak '!C29</f>
        <v>249</v>
      </c>
      <c r="F28" s="596">
        <f t="shared" si="1"/>
        <v>806755.0200803212</v>
      </c>
      <c r="G28" s="596">
        <f t="shared" si="5"/>
        <v>335405.34640374396</v>
      </c>
      <c r="H28" s="596">
        <f t="shared" si="2"/>
        <v>133706.82730923695</v>
      </c>
      <c r="I28" s="596">
        <f t="shared" si="6"/>
        <v>21379.77872330512</v>
      </c>
      <c r="J28" s="596">
        <f t="shared" si="3"/>
        <v>673048.1927710844</v>
      </c>
      <c r="K28" s="596">
        <f t="shared" si="7"/>
        <v>314025.567680439</v>
      </c>
      <c r="L28" s="598">
        <f>'Álláshelyek száma'!C36</f>
        <v>74</v>
      </c>
      <c r="M28" s="596">
        <f t="shared" si="0"/>
        <v>2264716.2162162163</v>
      </c>
      <c r="N28" s="596">
        <f t="shared" si="8"/>
        <v>-31629.794915508945</v>
      </c>
    </row>
    <row r="29" spans="1:14" s="580" customFormat="1" ht="18" customHeight="1">
      <c r="A29" s="595" t="s">
        <v>315</v>
      </c>
      <c r="B29" s="596">
        <v>201115</v>
      </c>
      <c r="C29" s="594">
        <f t="shared" si="4"/>
        <v>54333</v>
      </c>
      <c r="D29" s="596">
        <v>146782</v>
      </c>
      <c r="E29" s="601">
        <f>'ellátottak '!C30</f>
        <v>355</v>
      </c>
      <c r="F29" s="596">
        <f t="shared" si="1"/>
        <v>566521.1267605633</v>
      </c>
      <c r="G29" s="596">
        <f t="shared" si="5"/>
        <v>95171.45308398607</v>
      </c>
      <c r="H29" s="596">
        <f t="shared" si="2"/>
        <v>153050.70422535212</v>
      </c>
      <c r="I29" s="596">
        <f t="shared" si="6"/>
        <v>40723.65563942029</v>
      </c>
      <c r="J29" s="596">
        <f t="shared" si="3"/>
        <v>413470.42253521126</v>
      </c>
      <c r="K29" s="596">
        <f t="shared" si="7"/>
        <v>54447.79744456586</v>
      </c>
      <c r="L29" s="598">
        <f>'Álláshelyek száma'!C37</f>
        <v>65</v>
      </c>
      <c r="M29" s="596">
        <f t="shared" si="0"/>
        <v>2258184.6153846155</v>
      </c>
      <c r="N29" s="596">
        <f t="shared" si="8"/>
        <v>-38161.39574710978</v>
      </c>
    </row>
    <row r="30" spans="1:14" s="580" customFormat="1" ht="18" customHeight="1">
      <c r="A30" s="595" t="s">
        <v>316</v>
      </c>
      <c r="B30" s="596">
        <v>287133</v>
      </c>
      <c r="C30" s="594">
        <f t="shared" si="4"/>
        <v>75295</v>
      </c>
      <c r="D30" s="596">
        <v>211838</v>
      </c>
      <c r="E30" s="601">
        <f>'ellátottak '!C31</f>
        <v>722</v>
      </c>
      <c r="F30" s="596">
        <f t="shared" si="1"/>
        <v>397691.135734072</v>
      </c>
      <c r="G30" s="596">
        <f t="shared" si="5"/>
        <v>-73658.53794250527</v>
      </c>
      <c r="H30" s="596">
        <f t="shared" si="2"/>
        <v>104286.70360110803</v>
      </c>
      <c r="I30" s="596">
        <f t="shared" si="6"/>
        <v>-8040.344984823794</v>
      </c>
      <c r="J30" s="596">
        <f t="shared" si="3"/>
        <v>293404.43213296396</v>
      </c>
      <c r="K30" s="596">
        <f t="shared" si="7"/>
        <v>-65618.19295768143</v>
      </c>
      <c r="L30" s="598">
        <f>'Álláshelyek száma'!C38</f>
        <v>77</v>
      </c>
      <c r="M30" s="596">
        <f t="shared" si="0"/>
        <v>2751142.8571428573</v>
      </c>
      <c r="N30" s="596">
        <f t="shared" si="8"/>
        <v>454796.846011132</v>
      </c>
    </row>
    <row r="31" spans="1:14" s="580" customFormat="1" ht="18" customHeight="1">
      <c r="A31" s="595" t="s">
        <v>191</v>
      </c>
      <c r="B31" s="596">
        <v>172548</v>
      </c>
      <c r="C31" s="594">
        <f t="shared" si="4"/>
        <v>52939</v>
      </c>
      <c r="D31" s="596">
        <v>119609</v>
      </c>
      <c r="E31" s="601">
        <f>'ellátottak '!C32</f>
        <v>305</v>
      </c>
      <c r="F31" s="596">
        <f>(B31/E31)*1000</f>
        <v>565731.1475409835</v>
      </c>
      <c r="G31" s="596">
        <f t="shared" si="5"/>
        <v>94381.47386440623</v>
      </c>
      <c r="H31" s="596">
        <f>(C31/E31)*1000</f>
        <v>173570.49180327868</v>
      </c>
      <c r="I31" s="596">
        <f t="shared" si="6"/>
        <v>61243.44321734685</v>
      </c>
      <c r="J31" s="596">
        <f>(D31/E31)*1000</f>
        <v>392160.65573770495</v>
      </c>
      <c r="K31" s="596">
        <f t="shared" si="7"/>
        <v>33138.03064705955</v>
      </c>
      <c r="L31" s="598">
        <f>'Álláshelyek száma'!C39</f>
        <v>110</v>
      </c>
      <c r="M31" s="596">
        <f>(D31/L31)*1000</f>
        <v>1087354.5454545454</v>
      </c>
      <c r="N31" s="596">
        <f t="shared" si="8"/>
        <v>-1208991.4656771799</v>
      </c>
    </row>
    <row r="32" spans="1:14" s="580" customFormat="1" ht="18" customHeight="1">
      <c r="A32" s="595" t="s">
        <v>317</v>
      </c>
      <c r="B32" s="596">
        <v>127430</v>
      </c>
      <c r="C32" s="594">
        <f t="shared" si="4"/>
        <v>23779</v>
      </c>
      <c r="D32" s="596">
        <v>103651</v>
      </c>
      <c r="E32" s="601">
        <f>'ellátottak '!C33</f>
        <v>335</v>
      </c>
      <c r="F32" s="596">
        <f t="shared" si="1"/>
        <v>380388.05970149254</v>
      </c>
      <c r="G32" s="596">
        <f t="shared" si="5"/>
        <v>-90961.61397508474</v>
      </c>
      <c r="H32" s="596">
        <f t="shared" si="2"/>
        <v>70982.0895522388</v>
      </c>
      <c r="I32" s="596">
        <f t="shared" si="6"/>
        <v>-41344.95903369303</v>
      </c>
      <c r="J32" s="596">
        <f t="shared" si="3"/>
        <v>309405.9701492537</v>
      </c>
      <c r="K32" s="596">
        <f t="shared" si="7"/>
        <v>-49616.654941391665</v>
      </c>
      <c r="L32" s="598">
        <f>'Álláshelyek száma'!C40</f>
        <v>61</v>
      </c>
      <c r="M32" s="596">
        <f t="shared" si="0"/>
        <v>1699196.7213114754</v>
      </c>
      <c r="N32" s="596">
        <f t="shared" si="8"/>
        <v>-597149.2898202499</v>
      </c>
    </row>
    <row r="33" spans="1:14" s="580" customFormat="1" ht="18" customHeight="1">
      <c r="A33" s="595" t="s">
        <v>318</v>
      </c>
      <c r="B33" s="596">
        <v>121138</v>
      </c>
      <c r="C33" s="594">
        <f t="shared" si="4"/>
        <v>28102</v>
      </c>
      <c r="D33" s="596">
        <v>93036</v>
      </c>
      <c r="E33" s="601">
        <f>'ellátottak '!C34</f>
        <v>314</v>
      </c>
      <c r="F33" s="596">
        <f t="shared" si="1"/>
        <v>385789.80891719746</v>
      </c>
      <c r="G33" s="596">
        <f t="shared" si="5"/>
        <v>-85559.86475937982</v>
      </c>
      <c r="H33" s="596">
        <f t="shared" si="2"/>
        <v>89496.8152866242</v>
      </c>
      <c r="I33" s="596">
        <f t="shared" si="6"/>
        <v>-22830.233299307627</v>
      </c>
      <c r="J33" s="596">
        <f t="shared" si="3"/>
        <v>296292.9936305732</v>
      </c>
      <c r="K33" s="596">
        <f t="shared" si="7"/>
        <v>-62729.63146007218</v>
      </c>
      <c r="L33" s="598">
        <f>'Álláshelyek száma'!C41</f>
        <v>60</v>
      </c>
      <c r="M33" s="596">
        <f t="shared" si="0"/>
        <v>1550600</v>
      </c>
      <c r="N33" s="596">
        <f t="shared" si="8"/>
        <v>-745746.0111317253</v>
      </c>
    </row>
    <row r="34" spans="1:14" s="580" customFormat="1" ht="18" customHeight="1">
      <c r="A34" s="640" t="s">
        <v>319</v>
      </c>
      <c r="B34" s="623">
        <v>90794</v>
      </c>
      <c r="C34" s="613">
        <f t="shared" si="4"/>
        <v>10305</v>
      </c>
      <c r="D34" s="623">
        <v>80489</v>
      </c>
      <c r="E34" s="633"/>
      <c r="F34" s="623"/>
      <c r="G34" s="623"/>
      <c r="H34" s="623"/>
      <c r="I34" s="623"/>
      <c r="J34" s="623"/>
      <c r="K34" s="623"/>
      <c r="L34" s="598">
        <f>'Álláshelyek száma'!C42</f>
        <v>26</v>
      </c>
      <c r="M34" s="623">
        <f t="shared" si="0"/>
        <v>3095730.769230769</v>
      </c>
      <c r="N34" s="623">
        <f t="shared" si="8"/>
        <v>799384.7580990437</v>
      </c>
    </row>
    <row r="35" spans="1:14" s="580" customFormat="1" ht="18" customHeight="1">
      <c r="A35" s="637" t="s">
        <v>289</v>
      </c>
      <c r="B35" s="638">
        <f>SUM(B19:B34)</f>
        <v>3249956</v>
      </c>
      <c r="C35" s="638">
        <f>SUM(C19:C34)</f>
        <v>774495</v>
      </c>
      <c r="D35" s="638">
        <f>SUM(D19:D34)</f>
        <v>2475461</v>
      </c>
      <c r="E35" s="638">
        <f>SUM(E19:E34)</f>
        <v>6895</v>
      </c>
      <c r="F35" s="638">
        <f t="shared" si="1"/>
        <v>471349.6736765773</v>
      </c>
      <c r="G35" s="620" t="s">
        <v>281</v>
      </c>
      <c r="H35" s="638">
        <f t="shared" si="2"/>
        <v>112327.04858593183</v>
      </c>
      <c r="I35" s="620" t="s">
        <v>281</v>
      </c>
      <c r="J35" s="638">
        <f t="shared" si="3"/>
        <v>359022.6250906454</v>
      </c>
      <c r="K35" s="620" t="s">
        <v>281</v>
      </c>
      <c r="L35" s="639">
        <f>SUM(L19:L34)</f>
        <v>1078</v>
      </c>
      <c r="M35" s="638">
        <f t="shared" si="0"/>
        <v>2296346.0111317253</v>
      </c>
      <c r="N35" s="620" t="s">
        <v>281</v>
      </c>
    </row>
    <row r="36" spans="1:14" s="580" customFormat="1" ht="18" customHeight="1">
      <c r="A36" s="614" t="s">
        <v>194</v>
      </c>
      <c r="B36" s="615">
        <v>217304</v>
      </c>
      <c r="C36" s="606">
        <f aca="true" t="shared" si="9" ref="C36:C49">B36-D36</f>
        <v>38475</v>
      </c>
      <c r="D36" s="615">
        <v>178829</v>
      </c>
      <c r="E36" s="635">
        <f>'ellátottak '!C36</f>
        <v>556</v>
      </c>
      <c r="F36" s="615">
        <f t="shared" si="1"/>
        <v>390834.5323741007</v>
      </c>
      <c r="G36" s="615">
        <f aca="true" t="shared" si="10" ref="G36:G49">F36-$F$50</f>
        <v>-52617.36266963108</v>
      </c>
      <c r="H36" s="615">
        <f t="shared" si="2"/>
        <v>69199.64028776978</v>
      </c>
      <c r="I36" s="615">
        <f aca="true" t="shared" si="11" ref="I36:I49">H36-$H$50</f>
        <v>-38121.49133948429</v>
      </c>
      <c r="J36" s="615">
        <f t="shared" si="3"/>
        <v>321634.8920863309</v>
      </c>
      <c r="K36" s="615">
        <f aca="true" t="shared" si="12" ref="K36:K49">J36-$J$50</f>
        <v>-14495.871330146794</v>
      </c>
      <c r="L36" s="617">
        <f>'Álláshelyek száma'!C44</f>
        <v>67</v>
      </c>
      <c r="M36" s="615">
        <f t="shared" si="0"/>
        <v>2669089.552238806</v>
      </c>
      <c r="N36" s="615">
        <f aca="true" t="shared" si="13" ref="N36:N49">M36-$M$50</f>
        <v>109133.13776512211</v>
      </c>
    </row>
    <row r="37" spans="1:14" s="580" customFormat="1" ht="18" customHeight="1">
      <c r="A37" s="595" t="s">
        <v>195</v>
      </c>
      <c r="B37" s="596">
        <v>281774</v>
      </c>
      <c r="C37" s="594">
        <f t="shared" si="9"/>
        <v>60832</v>
      </c>
      <c r="D37" s="596">
        <v>220942</v>
      </c>
      <c r="E37" s="635">
        <f>'ellátottak '!C37</f>
        <v>524</v>
      </c>
      <c r="F37" s="596">
        <f t="shared" si="1"/>
        <v>537736.641221374</v>
      </c>
      <c r="G37" s="596">
        <f t="shared" si="10"/>
        <v>94284.74617764226</v>
      </c>
      <c r="H37" s="596">
        <f t="shared" si="2"/>
        <v>116091.6030534351</v>
      </c>
      <c r="I37" s="596">
        <f t="shared" si="11"/>
        <v>8770.47142618103</v>
      </c>
      <c r="J37" s="596">
        <f t="shared" si="3"/>
        <v>421645.03816793894</v>
      </c>
      <c r="K37" s="596">
        <f t="shared" si="12"/>
        <v>85514.27475146123</v>
      </c>
      <c r="L37" s="617">
        <f>'Álláshelyek száma'!C45</f>
        <v>69</v>
      </c>
      <c r="M37" s="596">
        <f t="shared" si="0"/>
        <v>3202057.971014493</v>
      </c>
      <c r="N37" s="596">
        <f t="shared" si="13"/>
        <v>642101.5565408091</v>
      </c>
    </row>
    <row r="38" spans="1:14" s="580" customFormat="1" ht="18" customHeight="1">
      <c r="A38" s="595" t="s">
        <v>320</v>
      </c>
      <c r="B38" s="596">
        <v>298061</v>
      </c>
      <c r="C38" s="594">
        <f t="shared" si="9"/>
        <v>68696</v>
      </c>
      <c r="D38" s="596">
        <v>229365</v>
      </c>
      <c r="E38" s="635">
        <f>'ellátottak '!C38</f>
        <v>700</v>
      </c>
      <c r="F38" s="596">
        <f t="shared" si="1"/>
        <v>425801.4285714286</v>
      </c>
      <c r="G38" s="596">
        <f t="shared" si="10"/>
        <v>-17650.466472303204</v>
      </c>
      <c r="H38" s="596">
        <f t="shared" si="2"/>
        <v>98137.14285714287</v>
      </c>
      <c r="I38" s="596">
        <f t="shared" si="11"/>
        <v>-9183.988770111202</v>
      </c>
      <c r="J38" s="596">
        <f t="shared" si="3"/>
        <v>327664.28571428574</v>
      </c>
      <c r="K38" s="596">
        <f t="shared" si="12"/>
        <v>-8466.477702191973</v>
      </c>
      <c r="L38" s="617">
        <f>'Álláshelyek száma'!C46</f>
        <v>80</v>
      </c>
      <c r="M38" s="596">
        <f t="shared" si="0"/>
        <v>2867062.5</v>
      </c>
      <c r="N38" s="596">
        <f t="shared" si="13"/>
        <v>307106.08552631596</v>
      </c>
    </row>
    <row r="39" spans="1:14" s="580" customFormat="1" ht="18" customHeight="1">
      <c r="A39" s="595" t="s">
        <v>321</v>
      </c>
      <c r="B39" s="596">
        <v>305843</v>
      </c>
      <c r="C39" s="594">
        <f t="shared" si="9"/>
        <v>66260</v>
      </c>
      <c r="D39" s="596">
        <v>239583</v>
      </c>
      <c r="E39" s="635">
        <f>'ellátottak '!C39</f>
        <v>749</v>
      </c>
      <c r="F39" s="596">
        <f t="shared" si="1"/>
        <v>408335.1134846462</v>
      </c>
      <c r="G39" s="596">
        <f t="shared" si="10"/>
        <v>-35116.78155908559</v>
      </c>
      <c r="H39" s="596">
        <f t="shared" si="2"/>
        <v>88464.61949265689</v>
      </c>
      <c r="I39" s="596">
        <f t="shared" si="11"/>
        <v>-18856.512134597186</v>
      </c>
      <c r="J39" s="596">
        <f t="shared" si="3"/>
        <v>319870.4939919893</v>
      </c>
      <c r="K39" s="596">
        <f t="shared" si="12"/>
        <v>-16260.269424488419</v>
      </c>
      <c r="L39" s="617">
        <f>'Álláshelyek száma'!C47</f>
        <v>90</v>
      </c>
      <c r="M39" s="596">
        <f t="shared" si="0"/>
        <v>2662033.3333333335</v>
      </c>
      <c r="N39" s="596">
        <f t="shared" si="13"/>
        <v>102076.91885964945</v>
      </c>
    </row>
    <row r="40" spans="1:14" s="580" customFormat="1" ht="25.5" customHeight="1">
      <c r="A40" s="603" t="s">
        <v>349</v>
      </c>
      <c r="B40" s="596">
        <v>88698</v>
      </c>
      <c r="C40" s="594">
        <f t="shared" si="9"/>
        <v>16902</v>
      </c>
      <c r="D40" s="596">
        <v>71796</v>
      </c>
      <c r="E40" s="601">
        <f>'ellátottak '!C40</f>
        <v>109</v>
      </c>
      <c r="F40" s="596"/>
      <c r="G40" s="596"/>
      <c r="H40" s="596"/>
      <c r="I40" s="596"/>
      <c r="J40" s="596"/>
      <c r="K40" s="596"/>
      <c r="L40" s="617">
        <f>'Álláshelyek száma'!C48</f>
        <v>55</v>
      </c>
      <c r="M40" s="596"/>
      <c r="N40" s="596"/>
    </row>
    <row r="41" spans="1:14" s="580" customFormat="1" ht="18" customHeight="1">
      <c r="A41" s="595" t="s">
        <v>322</v>
      </c>
      <c r="B41" s="596">
        <v>139415</v>
      </c>
      <c r="C41" s="594">
        <f t="shared" si="9"/>
        <v>16531</v>
      </c>
      <c r="D41" s="596">
        <v>122884</v>
      </c>
      <c r="E41" s="601">
        <f>'ellátottak '!C41</f>
        <v>210</v>
      </c>
      <c r="F41" s="596">
        <f t="shared" si="1"/>
        <v>663880.9523809524</v>
      </c>
      <c r="G41" s="596">
        <f t="shared" si="10"/>
        <v>220429.05733722064</v>
      </c>
      <c r="H41" s="596">
        <f t="shared" si="2"/>
        <v>78719.04761904762</v>
      </c>
      <c r="I41" s="596">
        <f t="shared" si="11"/>
        <v>-28602.084008206453</v>
      </c>
      <c r="J41" s="596">
        <f t="shared" si="3"/>
        <v>585161.9047619049</v>
      </c>
      <c r="K41" s="596">
        <f t="shared" si="12"/>
        <v>249031.14134542714</v>
      </c>
      <c r="L41" s="617">
        <f>'Álláshelyek száma'!C49</f>
        <v>40</v>
      </c>
      <c r="M41" s="596">
        <f t="shared" si="0"/>
        <v>3072100</v>
      </c>
      <c r="N41" s="596">
        <f t="shared" si="13"/>
        <v>512143.58552631596</v>
      </c>
    </row>
    <row r="42" spans="1:14" s="580" customFormat="1" ht="18" customHeight="1">
      <c r="A42" s="595" t="s">
        <v>323</v>
      </c>
      <c r="B42" s="596">
        <v>253191</v>
      </c>
      <c r="C42" s="594">
        <f t="shared" si="9"/>
        <v>46702</v>
      </c>
      <c r="D42" s="596">
        <v>206489</v>
      </c>
      <c r="E42" s="601">
        <f>'ellátottak '!C42</f>
        <v>738</v>
      </c>
      <c r="F42" s="596">
        <f t="shared" si="1"/>
        <v>343077.23577235773</v>
      </c>
      <c r="G42" s="596">
        <f t="shared" si="10"/>
        <v>-100374.65927137405</v>
      </c>
      <c r="H42" s="596">
        <f t="shared" si="2"/>
        <v>63281.84281842818</v>
      </c>
      <c r="I42" s="596">
        <f t="shared" si="11"/>
        <v>-44039.28880882589</v>
      </c>
      <c r="J42" s="596">
        <f t="shared" si="3"/>
        <v>279795.39295392955</v>
      </c>
      <c r="K42" s="596">
        <f t="shared" si="12"/>
        <v>-56335.37046254816</v>
      </c>
      <c r="L42" s="617">
        <f>'Álláshelyek száma'!C50</f>
        <v>84</v>
      </c>
      <c r="M42" s="596">
        <f t="shared" si="0"/>
        <v>2458202.3809523806</v>
      </c>
      <c r="N42" s="596">
        <f t="shared" si="13"/>
        <v>-101754.03352130344</v>
      </c>
    </row>
    <row r="43" spans="1:14" s="580" customFormat="1" ht="18" customHeight="1">
      <c r="A43" s="595" t="s">
        <v>324</v>
      </c>
      <c r="B43" s="596">
        <v>551725</v>
      </c>
      <c r="C43" s="594">
        <f t="shared" si="9"/>
        <v>122543</v>
      </c>
      <c r="D43" s="596">
        <v>429182</v>
      </c>
      <c r="E43" s="601">
        <f>'ellátottak '!C43</f>
        <v>1224</v>
      </c>
      <c r="F43" s="596">
        <f t="shared" si="1"/>
        <v>450755.71895424835</v>
      </c>
      <c r="G43" s="596">
        <f t="shared" si="10"/>
        <v>7303.82391051657</v>
      </c>
      <c r="H43" s="596">
        <f t="shared" si="2"/>
        <v>100116.83006535948</v>
      </c>
      <c r="I43" s="596">
        <f t="shared" si="11"/>
        <v>-7204.301561894594</v>
      </c>
      <c r="J43" s="596">
        <f t="shared" si="3"/>
        <v>350638.88888888893</v>
      </c>
      <c r="K43" s="596">
        <f t="shared" si="12"/>
        <v>14508.125472411222</v>
      </c>
      <c r="L43" s="617">
        <f>'Álláshelyek száma'!C51</f>
        <v>163</v>
      </c>
      <c r="M43" s="596">
        <f t="shared" si="0"/>
        <v>2633018.4049079753</v>
      </c>
      <c r="N43" s="596">
        <f t="shared" si="13"/>
        <v>73061.9904342913</v>
      </c>
    </row>
    <row r="44" spans="1:14" s="580" customFormat="1" ht="18" customHeight="1">
      <c r="A44" s="595" t="s">
        <v>325</v>
      </c>
      <c r="B44" s="596">
        <v>293319</v>
      </c>
      <c r="C44" s="594">
        <f t="shared" si="9"/>
        <v>66637</v>
      </c>
      <c r="D44" s="596">
        <v>226682</v>
      </c>
      <c r="E44" s="601">
        <f>'ellátottak '!C44</f>
        <v>580</v>
      </c>
      <c r="F44" s="596">
        <f t="shared" si="1"/>
        <v>505722.4137931034</v>
      </c>
      <c r="G44" s="596">
        <f t="shared" si="10"/>
        <v>62270.51874937164</v>
      </c>
      <c r="H44" s="596">
        <f t="shared" si="2"/>
        <v>114891.37931034483</v>
      </c>
      <c r="I44" s="596">
        <f t="shared" si="11"/>
        <v>7570.247683090754</v>
      </c>
      <c r="J44" s="596">
        <f t="shared" si="3"/>
        <v>390831.03448275867</v>
      </c>
      <c r="K44" s="596">
        <f t="shared" si="12"/>
        <v>54700.271066280955</v>
      </c>
      <c r="L44" s="617">
        <f>'Álláshelyek száma'!C52</f>
        <v>77</v>
      </c>
      <c r="M44" s="596">
        <f t="shared" si="0"/>
        <v>2943922.077922078</v>
      </c>
      <c r="N44" s="596">
        <f t="shared" si="13"/>
        <v>383965.6634483938</v>
      </c>
    </row>
    <row r="45" spans="1:14" s="580" customFormat="1" ht="18" customHeight="1">
      <c r="A45" s="595" t="s">
        <v>326</v>
      </c>
      <c r="B45" s="596">
        <v>514909</v>
      </c>
      <c r="C45" s="594">
        <f t="shared" si="9"/>
        <v>143716</v>
      </c>
      <c r="D45" s="596">
        <v>371193</v>
      </c>
      <c r="E45" s="601">
        <f>'ellátottak '!C45</f>
        <v>1201</v>
      </c>
      <c r="F45" s="596">
        <f t="shared" si="1"/>
        <v>428733.5553705246</v>
      </c>
      <c r="G45" s="596">
        <f t="shared" si="10"/>
        <v>-14718.3396732072</v>
      </c>
      <c r="H45" s="596">
        <f t="shared" si="2"/>
        <v>119663.61365528726</v>
      </c>
      <c r="I45" s="596">
        <f t="shared" si="11"/>
        <v>12342.482028033191</v>
      </c>
      <c r="J45" s="596">
        <f t="shared" si="3"/>
        <v>309069.9417152373</v>
      </c>
      <c r="K45" s="596">
        <f t="shared" si="12"/>
        <v>-27060.821701240435</v>
      </c>
      <c r="L45" s="617">
        <f>'Álláshelyek száma'!C53</f>
        <v>155</v>
      </c>
      <c r="M45" s="596">
        <f t="shared" si="0"/>
        <v>2394793.548387097</v>
      </c>
      <c r="N45" s="596">
        <f t="shared" si="13"/>
        <v>-165162.86608658684</v>
      </c>
    </row>
    <row r="46" spans="1:14" s="580" customFormat="1" ht="18" customHeight="1">
      <c r="A46" s="595" t="s">
        <v>327</v>
      </c>
      <c r="B46" s="596">
        <v>324377</v>
      </c>
      <c r="C46" s="594">
        <f t="shared" si="9"/>
        <v>65198</v>
      </c>
      <c r="D46" s="596">
        <v>259179</v>
      </c>
      <c r="E46" s="601">
        <f>'ellátottak '!C46</f>
        <v>873</v>
      </c>
      <c r="F46" s="596">
        <f t="shared" si="1"/>
        <v>371565.86483390606</v>
      </c>
      <c r="G46" s="596">
        <f t="shared" si="10"/>
        <v>-71886.03020982572</v>
      </c>
      <c r="H46" s="596">
        <f t="shared" si="2"/>
        <v>74682.70332187858</v>
      </c>
      <c r="I46" s="596">
        <f t="shared" si="11"/>
        <v>-32638.42830537549</v>
      </c>
      <c r="J46" s="596">
        <f t="shared" si="3"/>
        <v>296883.1615120275</v>
      </c>
      <c r="K46" s="596">
        <f t="shared" si="12"/>
        <v>-39247.60190445022</v>
      </c>
      <c r="L46" s="617">
        <f>'Álláshelyek száma'!C54</f>
        <v>99</v>
      </c>
      <c r="M46" s="596">
        <f t="shared" si="0"/>
        <v>2617969.696969697</v>
      </c>
      <c r="N46" s="596">
        <f t="shared" si="13"/>
        <v>58013.28249601275</v>
      </c>
    </row>
    <row r="47" spans="1:14" s="580" customFormat="1" ht="18" customHeight="1">
      <c r="A47" s="595" t="s">
        <v>328</v>
      </c>
      <c r="B47" s="596">
        <v>252690</v>
      </c>
      <c r="C47" s="594">
        <f t="shared" si="9"/>
        <v>54830</v>
      </c>
      <c r="D47" s="596">
        <v>197860</v>
      </c>
      <c r="E47" s="601">
        <f>'ellátottak '!C47</f>
        <v>700</v>
      </c>
      <c r="F47" s="596">
        <f t="shared" si="1"/>
        <v>360985.71428571426</v>
      </c>
      <c r="G47" s="596">
        <f t="shared" si="10"/>
        <v>-82466.18075801752</v>
      </c>
      <c r="H47" s="596">
        <f t="shared" si="2"/>
        <v>78328.57142857142</v>
      </c>
      <c r="I47" s="596">
        <f t="shared" si="11"/>
        <v>-28992.56019868265</v>
      </c>
      <c r="J47" s="596">
        <f t="shared" si="3"/>
        <v>282657.14285714284</v>
      </c>
      <c r="K47" s="596">
        <f t="shared" si="12"/>
        <v>-53473.62055933487</v>
      </c>
      <c r="L47" s="617">
        <f>'Álláshelyek száma'!C55</f>
        <v>79</v>
      </c>
      <c r="M47" s="596">
        <f t="shared" si="0"/>
        <v>2504556.9620253164</v>
      </c>
      <c r="N47" s="596">
        <f t="shared" si="13"/>
        <v>-55399.45244836761</v>
      </c>
    </row>
    <row r="48" spans="1:14" s="580" customFormat="1" ht="18" customHeight="1">
      <c r="A48" s="595" t="s">
        <v>329</v>
      </c>
      <c r="B48" s="596">
        <v>70371</v>
      </c>
      <c r="C48" s="594">
        <f t="shared" si="9"/>
        <v>18233</v>
      </c>
      <c r="D48" s="596">
        <v>52138</v>
      </c>
      <c r="E48" s="601">
        <f>'ellátottak '!C48</f>
        <v>132</v>
      </c>
      <c r="F48" s="596">
        <f t="shared" si="1"/>
        <v>533113.6363636364</v>
      </c>
      <c r="G48" s="596">
        <f t="shared" si="10"/>
        <v>89661.74131990457</v>
      </c>
      <c r="H48" s="596">
        <f t="shared" si="2"/>
        <v>138128.78787878787</v>
      </c>
      <c r="I48" s="596">
        <f t="shared" si="11"/>
        <v>30807.6562515338</v>
      </c>
      <c r="J48" s="596">
        <f t="shared" si="3"/>
        <v>394984.8484848485</v>
      </c>
      <c r="K48" s="596">
        <f t="shared" si="12"/>
        <v>58854.0850683708</v>
      </c>
      <c r="L48" s="617">
        <f>'Álláshelyek száma'!C56</f>
        <v>29</v>
      </c>
      <c r="M48" s="596">
        <f t="shared" si="0"/>
        <v>1797862.0689655172</v>
      </c>
      <c r="N48" s="596">
        <f t="shared" si="13"/>
        <v>-762094.3455081668</v>
      </c>
    </row>
    <row r="49" spans="1:14" s="580" customFormat="1" ht="18" customHeight="1">
      <c r="A49" s="641" t="s">
        <v>207</v>
      </c>
      <c r="B49" s="623">
        <v>515131</v>
      </c>
      <c r="C49" s="613">
        <f t="shared" si="9"/>
        <v>208346</v>
      </c>
      <c r="D49" s="623">
        <v>306785</v>
      </c>
      <c r="E49" s="642">
        <f>'ellátottak '!C49</f>
        <v>965</v>
      </c>
      <c r="F49" s="623">
        <f t="shared" si="1"/>
        <v>533814.5077720208</v>
      </c>
      <c r="G49" s="623">
        <f t="shared" si="10"/>
        <v>90362.61272828898</v>
      </c>
      <c r="H49" s="623">
        <f t="shared" si="2"/>
        <v>215902.59067357512</v>
      </c>
      <c r="I49" s="623">
        <f t="shared" si="11"/>
        <v>108581.45904632105</v>
      </c>
      <c r="J49" s="623">
        <f t="shared" si="3"/>
        <v>317911.9170984456</v>
      </c>
      <c r="K49" s="623">
        <f t="shared" si="12"/>
        <v>-18218.846318032127</v>
      </c>
      <c r="L49" s="634">
        <f>'Álláshelyek száma'!C57</f>
        <v>129</v>
      </c>
      <c r="M49" s="623">
        <f t="shared" si="0"/>
        <v>2378178.2945736437</v>
      </c>
      <c r="N49" s="623">
        <f t="shared" si="13"/>
        <v>-181778.11990004033</v>
      </c>
    </row>
    <row r="50" spans="1:14" s="580" customFormat="1" ht="18" customHeight="1">
      <c r="A50" s="637" t="s">
        <v>330</v>
      </c>
      <c r="B50" s="638">
        <f>SUM(B36:B49)</f>
        <v>4106808</v>
      </c>
      <c r="C50" s="638">
        <f>SUM(C36:C49)</f>
        <v>993901</v>
      </c>
      <c r="D50" s="638">
        <f>SUM(D36:D49)</f>
        <v>3112907</v>
      </c>
      <c r="E50" s="638">
        <f>SUM(E36:E49)</f>
        <v>9261</v>
      </c>
      <c r="F50" s="638">
        <f t="shared" si="1"/>
        <v>443451.8950437318</v>
      </c>
      <c r="G50" s="620" t="s">
        <v>281</v>
      </c>
      <c r="H50" s="638">
        <f t="shared" si="2"/>
        <v>107321.13162725407</v>
      </c>
      <c r="I50" s="620" t="s">
        <v>281</v>
      </c>
      <c r="J50" s="638">
        <f t="shared" si="3"/>
        <v>336130.7634164777</v>
      </c>
      <c r="K50" s="620" t="s">
        <v>281</v>
      </c>
      <c r="L50" s="639">
        <f>SUM(L36:L49)</f>
        <v>1216</v>
      </c>
      <c r="M50" s="638">
        <f t="shared" si="0"/>
        <v>2559956.414473684</v>
      </c>
      <c r="N50" s="620" t="s">
        <v>281</v>
      </c>
    </row>
    <row r="51" spans="1:14" s="580" customFormat="1" ht="18" customHeight="1">
      <c r="A51" s="652" t="s">
        <v>263</v>
      </c>
      <c r="B51" s="615">
        <v>772301</v>
      </c>
      <c r="C51" s="606">
        <f>B51-D51</f>
        <v>717749</v>
      </c>
      <c r="D51" s="615">
        <v>54552</v>
      </c>
      <c r="E51" s="643"/>
      <c r="F51" s="643"/>
      <c r="G51" s="643"/>
      <c r="H51" s="643"/>
      <c r="I51" s="643"/>
      <c r="J51" s="643"/>
      <c r="K51" s="643"/>
      <c r="L51" s="617">
        <f>'Álláshelyek száma'!C60</f>
        <v>25</v>
      </c>
      <c r="M51" s="615">
        <f t="shared" si="0"/>
        <v>2182080</v>
      </c>
      <c r="N51" s="615">
        <f>M51-$M$53</f>
        <v>-139453.3333333335</v>
      </c>
    </row>
    <row r="52" spans="1:14" s="580" customFormat="1" ht="26.25" customHeight="1">
      <c r="A52" s="644" t="s">
        <v>284</v>
      </c>
      <c r="B52" s="623">
        <v>113249</v>
      </c>
      <c r="C52" s="613">
        <f>B52-D52</f>
        <v>28509</v>
      </c>
      <c r="D52" s="623">
        <v>84740</v>
      </c>
      <c r="E52" s="648"/>
      <c r="F52" s="648"/>
      <c r="G52" s="648"/>
      <c r="H52" s="648"/>
      <c r="I52" s="648"/>
      <c r="J52" s="648"/>
      <c r="K52" s="648"/>
      <c r="L52" s="617">
        <f>'Álláshelyek száma'!C61</f>
        <v>35</v>
      </c>
      <c r="M52" s="623">
        <f t="shared" si="0"/>
        <v>2421142.8571428573</v>
      </c>
      <c r="N52" s="623">
        <f>M52-$M$53</f>
        <v>99609.52380952379</v>
      </c>
    </row>
    <row r="53" spans="1:14" s="580" customFormat="1" ht="18" customHeight="1">
      <c r="A53" s="624" t="s">
        <v>331</v>
      </c>
      <c r="B53" s="638">
        <f>SUM(B51:B52)</f>
        <v>885550</v>
      </c>
      <c r="C53" s="638">
        <f>SUM(C51:C52)</f>
        <v>746258</v>
      </c>
      <c r="D53" s="638">
        <f>SUM(D51:D52)</f>
        <v>139292</v>
      </c>
      <c r="E53" s="638"/>
      <c r="F53" s="638"/>
      <c r="G53" s="620" t="s">
        <v>281</v>
      </c>
      <c r="H53" s="638"/>
      <c r="I53" s="620" t="s">
        <v>281</v>
      </c>
      <c r="J53" s="638"/>
      <c r="K53" s="620" t="s">
        <v>281</v>
      </c>
      <c r="L53" s="639">
        <f>SUM(L51:L52)</f>
        <v>60</v>
      </c>
      <c r="M53" s="638">
        <f t="shared" si="0"/>
        <v>2321533.3333333335</v>
      </c>
      <c r="N53" s="620" t="s">
        <v>281</v>
      </c>
    </row>
    <row r="54" spans="1:14" s="580" customFormat="1" ht="26.25" customHeight="1">
      <c r="A54" s="649" t="s">
        <v>267</v>
      </c>
      <c r="B54" s="650">
        <v>612331</v>
      </c>
      <c r="C54" s="650">
        <f>B54-D54</f>
        <v>339618</v>
      </c>
      <c r="D54" s="650">
        <v>272713</v>
      </c>
      <c r="E54" s="650"/>
      <c r="F54" s="650"/>
      <c r="G54" s="650"/>
      <c r="H54" s="650"/>
      <c r="I54" s="650"/>
      <c r="J54" s="650"/>
      <c r="K54" s="650"/>
      <c r="L54" s="651">
        <f>'Álláshelyek száma'!C64</f>
        <v>64</v>
      </c>
      <c r="M54" s="650">
        <f t="shared" si="0"/>
        <v>4261140.625</v>
      </c>
      <c r="N54" s="650">
        <v>0</v>
      </c>
    </row>
    <row r="55" spans="1:14" s="580" customFormat="1" ht="18" customHeight="1">
      <c r="A55" s="624" t="s">
        <v>290</v>
      </c>
      <c r="B55" s="638">
        <f>SUM(B54)</f>
        <v>612331</v>
      </c>
      <c r="C55" s="638">
        <f>SUM(C54)</f>
        <v>339618</v>
      </c>
      <c r="D55" s="638">
        <f>SUM(D54)</f>
        <v>272713</v>
      </c>
      <c r="E55" s="638"/>
      <c r="F55" s="638"/>
      <c r="G55" s="620" t="s">
        <v>281</v>
      </c>
      <c r="H55" s="638"/>
      <c r="I55" s="620" t="s">
        <v>281</v>
      </c>
      <c r="J55" s="638"/>
      <c r="K55" s="620" t="s">
        <v>281</v>
      </c>
      <c r="L55" s="639">
        <f>SUM(L54)</f>
        <v>64</v>
      </c>
      <c r="M55" s="638">
        <f t="shared" si="0"/>
        <v>4261140.625</v>
      </c>
      <c r="N55" s="620" t="s">
        <v>281</v>
      </c>
    </row>
    <row r="56" spans="1:14" ht="19.5" customHeight="1">
      <c r="A56" s="645" t="s">
        <v>332</v>
      </c>
      <c r="B56" s="646">
        <f>SUM(B55,B53,B50,B35,B18,B12,B6,B13)</f>
        <v>12543471</v>
      </c>
      <c r="C56" s="646">
        <f>SUM(C55,C53,C50,C35,C18,C12,C6,C13)</f>
        <v>3841250</v>
      </c>
      <c r="D56" s="646">
        <f>SUM(D55,D53,D50,D35,D18,D12,D6,D13)</f>
        <v>8702221</v>
      </c>
      <c r="E56" s="646">
        <f>SUM(E55,E53,E50,E35,E18,E12,E6,E13)</f>
        <v>19432</v>
      </c>
      <c r="F56" s="646">
        <f>(B56/E56)*1000</f>
        <v>645505.9180732812</v>
      </c>
      <c r="G56" s="647" t="s">
        <v>281</v>
      </c>
      <c r="H56" s="646">
        <f>(C56/E56)*1000</f>
        <v>197676.5129682997</v>
      </c>
      <c r="I56" s="647" t="s">
        <v>281</v>
      </c>
      <c r="J56" s="646">
        <f>(D56/E56)*1000</f>
        <v>447829.40510498144</v>
      </c>
      <c r="K56" s="647" t="s">
        <v>281</v>
      </c>
      <c r="L56" s="646">
        <f>SUM(L55,L53,L50,L35,L18,L12,L6,L13)</f>
        <v>3596</v>
      </c>
      <c r="M56" s="646">
        <f t="shared" si="0"/>
        <v>2419972.4694104563</v>
      </c>
      <c r="N56" s="647" t="s">
        <v>281</v>
      </c>
    </row>
    <row r="57" spans="1:12" ht="12.75">
      <c r="A57" s="578" t="s">
        <v>333</v>
      </c>
      <c r="B57" s="578">
        <v>12543471</v>
      </c>
      <c r="C57" s="578">
        <f>B57-D57</f>
        <v>3841250</v>
      </c>
      <c r="D57" s="578">
        <v>8702221</v>
      </c>
      <c r="E57" s="578">
        <v>19432</v>
      </c>
      <c r="L57" s="578">
        <f>'Álláshelyek száma'!C66</f>
        <v>3596</v>
      </c>
    </row>
    <row r="58" spans="1:4" ht="12.75" hidden="1">
      <c r="A58" s="581"/>
      <c r="B58" s="581"/>
      <c r="C58" s="581"/>
      <c r="D58" s="581"/>
    </row>
    <row r="59" spans="1:4" ht="12.75" hidden="1">
      <c r="A59" s="581"/>
      <c r="B59" s="581"/>
      <c r="C59" s="581"/>
      <c r="D59" s="581"/>
    </row>
    <row r="60" spans="1:4" ht="12.75" hidden="1">
      <c r="A60" s="581"/>
      <c r="B60" s="581"/>
      <c r="C60" s="581"/>
      <c r="D60" s="581"/>
    </row>
    <row r="61" spans="1:4" ht="12.75" hidden="1">
      <c r="A61" s="581"/>
      <c r="B61" s="581"/>
      <c r="C61" s="581"/>
      <c r="D61" s="581"/>
    </row>
    <row r="62" spans="1:4" ht="12.75" hidden="1">
      <c r="A62" s="581"/>
      <c r="B62" s="581"/>
      <c r="C62" s="581"/>
      <c r="D62" s="581"/>
    </row>
    <row r="63" spans="1:4" ht="12.75" hidden="1">
      <c r="A63" s="581"/>
      <c r="B63" s="581"/>
      <c r="C63" s="581"/>
      <c r="D63" s="581"/>
    </row>
    <row r="64" spans="1:4" ht="12.75" hidden="1">
      <c r="A64" s="581"/>
      <c r="B64" s="581"/>
      <c r="C64" s="581"/>
      <c r="D64" s="581"/>
    </row>
    <row r="65" spans="1:4" ht="12.75" hidden="1">
      <c r="A65" s="581"/>
      <c r="B65" s="581"/>
      <c r="C65" s="581"/>
      <c r="D65" s="581"/>
    </row>
    <row r="66" spans="1:4" ht="12.75" hidden="1">
      <c r="A66" s="581"/>
      <c r="B66" s="581"/>
      <c r="C66" s="581"/>
      <c r="D66" s="581"/>
    </row>
    <row r="67" spans="1:4" ht="12.75" hidden="1">
      <c r="A67" s="582"/>
      <c r="B67" s="582"/>
      <c r="C67" s="582"/>
      <c r="D67" s="582"/>
    </row>
    <row r="68" spans="1:4" ht="12.75" hidden="1">
      <c r="A68" s="581"/>
      <c r="B68" s="581"/>
      <c r="C68" s="581"/>
      <c r="D68" s="581"/>
    </row>
    <row r="69" spans="1:4" ht="12.75" hidden="1">
      <c r="A69" s="581"/>
      <c r="B69" s="581"/>
      <c r="C69" s="581"/>
      <c r="D69" s="581"/>
    </row>
    <row r="70" spans="1:4" ht="12.75" hidden="1">
      <c r="A70" s="581"/>
      <c r="B70" s="581"/>
      <c r="C70" s="581"/>
      <c r="D70" s="581"/>
    </row>
    <row r="71" spans="1:4" ht="12.75" hidden="1">
      <c r="A71" s="582"/>
      <c r="B71" s="582"/>
      <c r="C71" s="582"/>
      <c r="D71" s="582"/>
    </row>
    <row r="72" ht="12.75" hidden="1"/>
    <row r="73" spans="2:12" ht="12.75">
      <c r="B73" s="578">
        <f>B56-B57</f>
        <v>0</v>
      </c>
      <c r="D73" s="578">
        <f>D56-D57</f>
        <v>0</v>
      </c>
      <c r="E73" s="578">
        <f>E56-E57</f>
        <v>0</v>
      </c>
      <c r="L73" s="578">
        <f>L56-L57</f>
        <v>0</v>
      </c>
    </row>
    <row r="74" spans="1:12" ht="12.75">
      <c r="A74" s="932"/>
      <c r="B74" s="933"/>
      <c r="C74" s="933"/>
      <c r="D74" s="933"/>
      <c r="E74" s="934"/>
      <c r="F74" s="934"/>
      <c r="G74" s="934"/>
      <c r="H74" s="934"/>
      <c r="I74" s="934"/>
      <c r="J74" s="934"/>
      <c r="K74" s="934"/>
      <c r="L74" s="934"/>
    </row>
  </sheetData>
  <mergeCells count="2">
    <mergeCell ref="A1:N1"/>
    <mergeCell ref="A74:L74"/>
  </mergeCells>
  <printOptions horizontalCentered="1"/>
  <pageMargins left="0.33" right="0.4" top="0.2" bottom="0.25" header="0.21" footer="0.2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1">
      <selection activeCell="N25" sqref="N25"/>
    </sheetView>
  </sheetViews>
  <sheetFormatPr defaultColWidth="9.140625" defaultRowHeight="12.75"/>
  <cols>
    <col min="1" max="1" width="9.140625" style="759" customWidth="1"/>
    <col min="2" max="2" width="30.140625" style="759" customWidth="1"/>
    <col min="3" max="3" width="9.8515625" style="759" customWidth="1"/>
    <col min="4" max="4" width="9.140625" style="759" customWidth="1"/>
    <col min="5" max="5" width="12.7109375" style="759" customWidth="1"/>
    <col min="6" max="6" width="9.140625" style="759" customWidth="1"/>
    <col min="7" max="7" width="12.140625" style="759" customWidth="1"/>
    <col min="8" max="8" width="9.140625" style="759" customWidth="1"/>
    <col min="9" max="9" width="14.28125" style="759" customWidth="1"/>
    <col min="10" max="10" width="9.140625" style="759" customWidth="1"/>
    <col min="11" max="11" width="11.28125" style="759" customWidth="1"/>
    <col min="12" max="16384" width="9.140625" style="759" customWidth="1"/>
  </cols>
  <sheetData>
    <row r="1" spans="1:13" ht="15.75">
      <c r="A1" s="935"/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</row>
    <row r="2" spans="1:13" ht="15.75">
      <c r="A2" s="760"/>
      <c r="B2" s="936" t="s">
        <v>353</v>
      </c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760"/>
    </row>
    <row r="3" spans="1:13" ht="15.75">
      <c r="A3" s="760"/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0"/>
    </row>
    <row r="4" spans="1:13" ht="87.75" customHeight="1">
      <c r="A4" s="949"/>
      <c r="B4" s="949"/>
      <c r="C4" s="949"/>
      <c r="D4" s="949"/>
      <c r="E4" s="949"/>
      <c r="F4" s="949"/>
      <c r="G4" s="949"/>
      <c r="H4" s="949"/>
      <c r="I4" s="949"/>
      <c r="J4" s="949"/>
      <c r="K4" s="949"/>
      <c r="L4" s="949"/>
      <c r="M4" s="949"/>
    </row>
    <row r="5" spans="1:13" ht="15.75">
      <c r="A5" s="762"/>
      <c r="B5" s="762"/>
      <c r="C5" s="762"/>
      <c r="D5" s="762"/>
      <c r="E5" s="763"/>
      <c r="F5" s="763"/>
      <c r="G5" s="764"/>
      <c r="H5" s="764"/>
      <c r="I5" s="763"/>
      <c r="J5" s="763"/>
      <c r="K5" s="762"/>
      <c r="L5" s="762"/>
      <c r="M5" s="762"/>
    </row>
    <row r="6" spans="1:13" ht="15.75">
      <c r="A6" s="765" t="s">
        <v>354</v>
      </c>
      <c r="B6" s="762"/>
      <c r="C6" s="762"/>
      <c r="D6" s="762"/>
      <c r="E6" s="763"/>
      <c r="F6" s="763"/>
      <c r="G6" s="764"/>
      <c r="H6" s="764"/>
      <c r="I6" s="763"/>
      <c r="J6" s="763"/>
      <c r="K6" s="762"/>
      <c r="L6" s="762"/>
      <c r="M6" s="762"/>
    </row>
    <row r="7" spans="1:13" ht="15.75">
      <c r="A7" s="762"/>
      <c r="B7" s="762"/>
      <c r="C7" s="762"/>
      <c r="D7" s="762"/>
      <c r="E7" s="763"/>
      <c r="F7" s="763"/>
      <c r="G7" s="764"/>
      <c r="H7" s="764"/>
      <c r="I7" s="763"/>
      <c r="J7" s="763"/>
      <c r="K7" s="762"/>
      <c r="L7" s="762"/>
      <c r="M7" s="766" t="s">
        <v>11</v>
      </c>
    </row>
    <row r="8" spans="1:13" ht="15.75">
      <c r="A8" s="937" t="s">
        <v>355</v>
      </c>
      <c r="B8" s="938"/>
      <c r="C8" s="938"/>
      <c r="D8" s="941" t="s">
        <v>1</v>
      </c>
      <c r="E8" s="942"/>
      <c r="F8" s="942"/>
      <c r="G8" s="943"/>
      <c r="H8" s="942" t="s">
        <v>10</v>
      </c>
      <c r="I8" s="942"/>
      <c r="J8" s="942"/>
      <c r="K8" s="942"/>
      <c r="L8" s="947" t="s">
        <v>356</v>
      </c>
      <c r="M8" s="948"/>
    </row>
    <row r="9" spans="1:13" ht="15.75">
      <c r="A9" s="939"/>
      <c r="B9" s="940"/>
      <c r="C9" s="940"/>
      <c r="D9" s="944"/>
      <c r="E9" s="945"/>
      <c r="F9" s="945"/>
      <c r="G9" s="946"/>
      <c r="H9" s="945"/>
      <c r="I9" s="945"/>
      <c r="J9" s="945"/>
      <c r="K9" s="945"/>
      <c r="L9" s="767" t="s">
        <v>357</v>
      </c>
      <c r="M9" s="768" t="s">
        <v>358</v>
      </c>
    </row>
    <row r="10" spans="1:13" ht="15.75">
      <c r="A10" s="769" t="s">
        <v>379</v>
      </c>
      <c r="B10" s="770"/>
      <c r="C10" s="770"/>
      <c r="D10" s="771"/>
      <c r="E10" s="772"/>
      <c r="F10" s="772"/>
      <c r="G10" s="773"/>
      <c r="H10" s="771"/>
      <c r="I10" s="772"/>
      <c r="J10" s="772"/>
      <c r="K10" s="773"/>
      <c r="L10" s="774"/>
      <c r="M10" s="773"/>
    </row>
    <row r="11" spans="1:13" ht="15.75">
      <c r="A11" s="775"/>
      <c r="B11" s="770"/>
      <c r="C11" s="770"/>
      <c r="D11" s="771"/>
      <c r="E11" s="772"/>
      <c r="F11" s="772"/>
      <c r="G11" s="773"/>
      <c r="H11" s="771"/>
      <c r="I11" s="772"/>
      <c r="J11" s="772"/>
      <c r="K11" s="773"/>
      <c r="L11" s="774"/>
      <c r="M11" s="773"/>
    </row>
    <row r="12" spans="1:13" ht="15.75">
      <c r="A12" s="775"/>
      <c r="B12" s="776" t="s">
        <v>359</v>
      </c>
      <c r="C12" s="958" t="s">
        <v>360</v>
      </c>
      <c r="D12" s="777"/>
      <c r="E12" s="778">
        <v>619256</v>
      </c>
      <c r="F12" s="959" t="s">
        <v>361</v>
      </c>
      <c r="G12" s="950">
        <f>E12/E13</f>
        <v>0.1826185940347628</v>
      </c>
      <c r="H12" s="777"/>
      <c r="I12" s="778">
        <f>'[7]8.egyszerűsített mérleg'!F13</f>
        <v>912417</v>
      </c>
      <c r="J12" s="959" t="s">
        <v>361</v>
      </c>
      <c r="K12" s="950">
        <f>(I12/I13)</f>
        <v>0.32874975454121275</v>
      </c>
      <c r="L12" s="951">
        <f>(K12-G12)*100</f>
        <v>14.613116050644996</v>
      </c>
      <c r="M12" s="773"/>
    </row>
    <row r="13" spans="1:13" ht="15.75">
      <c r="A13" s="775"/>
      <c r="B13" s="779" t="s">
        <v>362</v>
      </c>
      <c r="C13" s="958"/>
      <c r="D13" s="777"/>
      <c r="E13" s="772">
        <v>3390980</v>
      </c>
      <c r="F13" s="959"/>
      <c r="G13" s="950"/>
      <c r="H13" s="777"/>
      <c r="I13" s="772">
        <f>'[7]8.egyszerűsített mérleg'!F28</f>
        <v>2775415</v>
      </c>
      <c r="J13" s="959"/>
      <c r="K13" s="950"/>
      <c r="L13" s="951"/>
      <c r="M13" s="773"/>
    </row>
    <row r="14" spans="1:13" ht="15.75">
      <c r="A14" s="952"/>
      <c r="B14" s="953"/>
      <c r="C14" s="954"/>
      <c r="D14" s="780"/>
      <c r="E14" s="781"/>
      <c r="F14" s="781"/>
      <c r="G14" s="782"/>
      <c r="H14" s="955"/>
      <c r="I14" s="956"/>
      <c r="J14" s="956"/>
      <c r="K14" s="957"/>
      <c r="L14" s="783"/>
      <c r="M14" s="784"/>
    </row>
    <row r="15" spans="1:13" ht="15.75">
      <c r="A15" s="960" t="s">
        <v>380</v>
      </c>
      <c r="B15" s="961"/>
      <c r="C15" s="961"/>
      <c r="D15" s="771"/>
      <c r="E15" s="772"/>
      <c r="F15" s="772"/>
      <c r="G15" s="773"/>
      <c r="H15" s="771"/>
      <c r="I15" s="772"/>
      <c r="J15" s="772"/>
      <c r="K15" s="773"/>
      <c r="L15" s="785"/>
      <c r="M15" s="773"/>
    </row>
    <row r="16" spans="1:13" ht="15.75">
      <c r="A16" s="775"/>
      <c r="B16" s="770"/>
      <c r="C16" s="770"/>
      <c r="D16" s="771"/>
      <c r="E16" s="772"/>
      <c r="F16" s="772"/>
      <c r="G16" s="773"/>
      <c r="H16" s="771"/>
      <c r="I16" s="772"/>
      <c r="J16" s="772"/>
      <c r="K16" s="773"/>
      <c r="L16" s="785"/>
      <c r="M16" s="773"/>
    </row>
    <row r="17" spans="1:13" ht="15.75">
      <c r="A17" s="775"/>
      <c r="B17" s="776" t="s">
        <v>363</v>
      </c>
      <c r="C17" s="958" t="s">
        <v>360</v>
      </c>
      <c r="D17" s="777"/>
      <c r="E17" s="778">
        <v>209997</v>
      </c>
      <c r="F17" s="959" t="s">
        <v>361</v>
      </c>
      <c r="G17" s="950">
        <f>E17/E18</f>
        <v>0.18276755812091378</v>
      </c>
      <c r="H17" s="777"/>
      <c r="I17" s="778">
        <f>'[7]14.sz.melléklet'!F44</f>
        <v>260621</v>
      </c>
      <c r="J17" s="959" t="s">
        <v>361</v>
      </c>
      <c r="K17" s="950">
        <f>(I17/I18)</f>
        <v>0.3596047150507145</v>
      </c>
      <c r="L17" s="951">
        <f>(K17-G17)*100</f>
        <v>17.683715692980073</v>
      </c>
      <c r="M17" s="773"/>
    </row>
    <row r="18" spans="1:13" ht="15.75">
      <c r="A18" s="775"/>
      <c r="B18" s="779" t="s">
        <v>364</v>
      </c>
      <c r="C18" s="958"/>
      <c r="D18" s="777"/>
      <c r="E18" s="772">
        <v>1148984</v>
      </c>
      <c r="F18" s="959"/>
      <c r="G18" s="950"/>
      <c r="H18" s="777"/>
      <c r="I18" s="772">
        <f>'[7]14.sz.melléklet'!F102</f>
        <v>724743</v>
      </c>
      <c r="J18" s="959"/>
      <c r="K18" s="950"/>
      <c r="L18" s="951"/>
      <c r="M18" s="773"/>
    </row>
    <row r="19" spans="1:13" ht="15.75">
      <c r="A19" s="952"/>
      <c r="B19" s="953"/>
      <c r="C19" s="954"/>
      <c r="D19" s="780"/>
      <c r="E19" s="781"/>
      <c r="F19" s="781"/>
      <c r="G19" s="782"/>
      <c r="H19" s="955"/>
      <c r="I19" s="956"/>
      <c r="J19" s="956"/>
      <c r="K19" s="957"/>
      <c r="L19" s="783"/>
      <c r="M19" s="784"/>
    </row>
    <row r="20" spans="1:13" ht="15.75">
      <c r="A20" s="769" t="s">
        <v>381</v>
      </c>
      <c r="B20" s="770"/>
      <c r="C20" s="770"/>
      <c r="D20" s="771"/>
      <c r="E20" s="772"/>
      <c r="F20" s="772"/>
      <c r="G20" s="773"/>
      <c r="H20" s="771"/>
      <c r="I20" s="772"/>
      <c r="J20" s="772"/>
      <c r="K20" s="773"/>
      <c r="L20" s="785"/>
      <c r="M20" s="773"/>
    </row>
    <row r="21" spans="1:13" ht="15.75">
      <c r="A21" s="775"/>
      <c r="B21" s="770"/>
      <c r="C21" s="770"/>
      <c r="D21" s="771"/>
      <c r="E21" s="772"/>
      <c r="F21" s="772"/>
      <c r="G21" s="773"/>
      <c r="H21" s="771"/>
      <c r="I21" s="772"/>
      <c r="J21" s="772"/>
      <c r="K21" s="773"/>
      <c r="L21" s="785"/>
      <c r="M21" s="773"/>
    </row>
    <row r="22" spans="1:13" ht="15.75">
      <c r="A22" s="775"/>
      <c r="B22" s="776" t="s">
        <v>365</v>
      </c>
      <c r="C22" s="958" t="s">
        <v>360</v>
      </c>
      <c r="D22" s="777"/>
      <c r="E22" s="778">
        <v>7288447</v>
      </c>
      <c r="F22" s="959" t="s">
        <v>361</v>
      </c>
      <c r="G22" s="950">
        <f>E22/E23</f>
        <v>0.10148957026774127</v>
      </c>
      <c r="H22" s="777"/>
      <c r="I22" s="778">
        <f>'[7]14.sz.melléklet'!F131</f>
        <v>15140180</v>
      </c>
      <c r="J22" s="959" t="s">
        <v>361</v>
      </c>
      <c r="K22" s="950">
        <f>(I22/I23)</f>
        <v>0.19417361423312093</v>
      </c>
      <c r="L22" s="951">
        <f>(K22-G22)*100</f>
        <v>9.268404396537965</v>
      </c>
      <c r="M22" s="773"/>
    </row>
    <row r="23" spans="1:13" ht="15.75">
      <c r="A23" s="775"/>
      <c r="B23" s="779" t="s">
        <v>366</v>
      </c>
      <c r="C23" s="958"/>
      <c r="D23" s="777"/>
      <c r="E23" s="786">
        <v>71814739</v>
      </c>
      <c r="F23" s="959"/>
      <c r="G23" s="950"/>
      <c r="H23" s="777"/>
      <c r="I23" s="786">
        <f>'[7]14.sz.melléklet'!F131+'[7]14.sz.melléklet'!F76</f>
        <v>77972386</v>
      </c>
      <c r="J23" s="959"/>
      <c r="K23" s="950"/>
      <c r="L23" s="951"/>
      <c r="M23" s="773"/>
    </row>
    <row r="24" spans="1:13" ht="15.75">
      <c r="A24" s="952"/>
      <c r="B24" s="953"/>
      <c r="C24" s="954"/>
      <c r="D24" s="780"/>
      <c r="E24" s="781"/>
      <c r="F24" s="781"/>
      <c r="G24" s="782"/>
      <c r="H24" s="962"/>
      <c r="I24" s="963"/>
      <c r="J24" s="963"/>
      <c r="K24" s="964"/>
      <c r="L24" s="783"/>
      <c r="M24" s="784"/>
    </row>
    <row r="25" spans="1:13" ht="15.75">
      <c r="A25" s="762"/>
      <c r="B25" s="762"/>
      <c r="C25" s="762"/>
      <c r="D25" s="764"/>
      <c r="E25" s="763"/>
      <c r="F25" s="763"/>
      <c r="G25" s="762"/>
      <c r="H25" s="764"/>
      <c r="I25" s="763"/>
      <c r="J25" s="763"/>
      <c r="K25" s="762"/>
      <c r="L25" s="762"/>
      <c r="M25" s="762"/>
    </row>
    <row r="26" spans="1:13" ht="15.75">
      <c r="A26" s="762"/>
      <c r="B26" s="762"/>
      <c r="C26" s="762"/>
      <c r="D26" s="764"/>
      <c r="E26" s="763"/>
      <c r="F26" s="763"/>
      <c r="G26" s="762"/>
      <c r="H26" s="764"/>
      <c r="I26" s="763"/>
      <c r="J26" s="763"/>
      <c r="K26" s="762"/>
      <c r="L26" s="762"/>
      <c r="M26" s="762"/>
    </row>
    <row r="27" spans="1:13" ht="15.75">
      <c r="A27" s="765" t="s">
        <v>367</v>
      </c>
      <c r="B27" s="762"/>
      <c r="C27" s="762"/>
      <c r="D27" s="764"/>
      <c r="E27" s="763"/>
      <c r="F27" s="763"/>
      <c r="G27" s="762"/>
      <c r="H27" s="764"/>
      <c r="I27" s="763"/>
      <c r="J27" s="763"/>
      <c r="K27" s="762"/>
      <c r="L27" s="762"/>
      <c r="M27" s="766"/>
    </row>
    <row r="28" spans="1:13" ht="15.75">
      <c r="A28" s="765"/>
      <c r="B28" s="762"/>
      <c r="C28" s="762"/>
      <c r="D28" s="764"/>
      <c r="E28" s="763"/>
      <c r="F28" s="763"/>
      <c r="G28" s="762"/>
      <c r="H28" s="764"/>
      <c r="I28" s="763"/>
      <c r="J28" s="763"/>
      <c r="K28" s="762"/>
      <c r="L28" s="762"/>
      <c r="M28" s="766" t="s">
        <v>11</v>
      </c>
    </row>
    <row r="29" spans="1:13" ht="15.75">
      <c r="A29" s="937" t="s">
        <v>355</v>
      </c>
      <c r="B29" s="938"/>
      <c r="C29" s="938"/>
      <c r="D29" s="941" t="s">
        <v>1</v>
      </c>
      <c r="E29" s="942"/>
      <c r="F29" s="942"/>
      <c r="G29" s="943"/>
      <c r="H29" s="942" t="s">
        <v>10</v>
      </c>
      <c r="I29" s="942"/>
      <c r="J29" s="942"/>
      <c r="K29" s="942"/>
      <c r="L29" s="947" t="s">
        <v>356</v>
      </c>
      <c r="M29" s="948"/>
    </row>
    <row r="30" spans="1:13" ht="15.75">
      <c r="A30" s="939"/>
      <c r="B30" s="940"/>
      <c r="C30" s="940"/>
      <c r="D30" s="944"/>
      <c r="E30" s="945"/>
      <c r="F30" s="945"/>
      <c r="G30" s="946"/>
      <c r="H30" s="945"/>
      <c r="I30" s="945"/>
      <c r="J30" s="945"/>
      <c r="K30" s="945"/>
      <c r="L30" s="767" t="s">
        <v>357</v>
      </c>
      <c r="M30" s="768" t="s">
        <v>358</v>
      </c>
    </row>
    <row r="31" spans="1:13" ht="15.75">
      <c r="A31" s="775"/>
      <c r="B31" s="770"/>
      <c r="C31" s="770"/>
      <c r="D31" s="771"/>
      <c r="E31" s="772"/>
      <c r="F31" s="772"/>
      <c r="G31" s="773"/>
      <c r="H31" s="771"/>
      <c r="I31" s="772"/>
      <c r="J31" s="772"/>
      <c r="K31" s="773"/>
      <c r="L31" s="774"/>
      <c r="M31" s="773"/>
    </row>
    <row r="32" spans="1:13" ht="15.75">
      <c r="A32" s="769" t="s">
        <v>382</v>
      </c>
      <c r="B32" s="770"/>
      <c r="C32" s="770"/>
      <c r="D32" s="771"/>
      <c r="E32" s="772"/>
      <c r="F32" s="772"/>
      <c r="G32" s="773"/>
      <c r="H32" s="771"/>
      <c r="I32" s="772"/>
      <c r="J32" s="772"/>
      <c r="K32" s="773"/>
      <c r="L32" s="774"/>
      <c r="M32" s="773"/>
    </row>
    <row r="33" spans="1:13" ht="15.75">
      <c r="A33" s="775"/>
      <c r="B33" s="776" t="s">
        <v>368</v>
      </c>
      <c r="C33" s="958" t="s">
        <v>360</v>
      </c>
      <c r="D33" s="777"/>
      <c r="E33" s="778">
        <v>767519</v>
      </c>
      <c r="F33" s="959" t="s">
        <v>361</v>
      </c>
      <c r="G33" s="950">
        <f>E33/E34</f>
        <v>0.2263413526473173</v>
      </c>
      <c r="H33" s="777"/>
      <c r="I33" s="778">
        <f>'[7]14.sz.melléklet'!F61</f>
        <v>2032461</v>
      </c>
      <c r="J33" s="959" t="s">
        <v>361</v>
      </c>
      <c r="K33" s="950">
        <f>(I33/I34)</f>
        <v>0.731898269049886</v>
      </c>
      <c r="L33" s="951">
        <f>(K33-G33)*100</f>
        <v>50.55569164025686</v>
      </c>
      <c r="M33" s="787"/>
    </row>
    <row r="34" spans="1:13" ht="15.75">
      <c r="A34" s="775"/>
      <c r="B34" s="779" t="s">
        <v>362</v>
      </c>
      <c r="C34" s="958"/>
      <c r="D34" s="777"/>
      <c r="E34" s="772">
        <v>3390980</v>
      </c>
      <c r="F34" s="959"/>
      <c r="G34" s="950"/>
      <c r="H34" s="777"/>
      <c r="I34" s="772">
        <f>'[7]14.sz.melléklet'!F123</f>
        <v>2776972</v>
      </c>
      <c r="J34" s="959"/>
      <c r="K34" s="950"/>
      <c r="L34" s="951"/>
      <c r="M34" s="773"/>
    </row>
    <row r="35" spans="1:13" ht="15.75">
      <c r="A35" s="952"/>
      <c r="B35" s="953"/>
      <c r="C35" s="954"/>
      <c r="D35" s="780"/>
      <c r="E35" s="781"/>
      <c r="F35" s="781"/>
      <c r="G35" s="782"/>
      <c r="H35" s="962"/>
      <c r="I35" s="956"/>
      <c r="J35" s="956"/>
      <c r="K35" s="957"/>
      <c r="L35" s="783"/>
      <c r="M35" s="784"/>
    </row>
    <row r="36" spans="1:13" ht="15.75">
      <c r="A36" s="960" t="s">
        <v>383</v>
      </c>
      <c r="B36" s="961"/>
      <c r="C36" s="961"/>
      <c r="D36" s="771"/>
      <c r="E36" s="772"/>
      <c r="F36" s="772"/>
      <c r="G36" s="773"/>
      <c r="H36" s="771"/>
      <c r="I36" s="772"/>
      <c r="J36" s="772"/>
      <c r="K36" s="773"/>
      <c r="L36" s="774"/>
      <c r="M36" s="773"/>
    </row>
    <row r="37" spans="1:13" ht="15.75">
      <c r="A37" s="775"/>
      <c r="B37" s="776" t="s">
        <v>369</v>
      </c>
      <c r="C37" s="958" t="s">
        <v>360</v>
      </c>
      <c r="D37" s="777"/>
      <c r="E37" s="778">
        <v>2153229</v>
      </c>
      <c r="F37" s="959" t="s">
        <v>361</v>
      </c>
      <c r="G37" s="950">
        <f>E37/E38</f>
        <v>0.6349872308300255</v>
      </c>
      <c r="H37" s="777"/>
      <c r="I37" s="778">
        <f>'[7]14.sz.melléklet'!F67</f>
        <v>8291918</v>
      </c>
      <c r="J37" s="959" t="s">
        <v>361</v>
      </c>
      <c r="K37" s="950">
        <f>(I37/I38)</f>
        <v>2.98595664630396</v>
      </c>
      <c r="L37" s="951">
        <f>(K37-G37)*100</f>
        <v>235.09694154739344</v>
      </c>
      <c r="M37" s="773"/>
    </row>
    <row r="38" spans="1:13" ht="15.75">
      <c r="A38" s="775"/>
      <c r="B38" s="779" t="s">
        <v>362</v>
      </c>
      <c r="C38" s="958"/>
      <c r="D38" s="777"/>
      <c r="E38" s="772">
        <v>3390980</v>
      </c>
      <c r="F38" s="959"/>
      <c r="G38" s="950"/>
      <c r="H38" s="777"/>
      <c r="I38" s="772">
        <f>'[7]14.sz.melléklet'!F123</f>
        <v>2776972</v>
      </c>
      <c r="J38" s="959"/>
      <c r="K38" s="950"/>
      <c r="L38" s="951"/>
      <c r="M38" s="773"/>
    </row>
    <row r="39" spans="1:13" ht="15.75">
      <c r="A39" s="952"/>
      <c r="B39" s="953"/>
      <c r="C39" s="954"/>
      <c r="D39" s="780"/>
      <c r="E39" s="781"/>
      <c r="F39" s="781"/>
      <c r="G39" s="782"/>
      <c r="H39" s="955"/>
      <c r="I39" s="956"/>
      <c r="J39" s="956"/>
      <c r="K39" s="957"/>
      <c r="L39" s="783"/>
      <c r="M39" s="784"/>
    </row>
    <row r="40" spans="1:13" ht="15.75">
      <c r="A40" s="769" t="s">
        <v>384</v>
      </c>
      <c r="B40" s="770"/>
      <c r="C40" s="770"/>
      <c r="D40" s="771"/>
      <c r="E40" s="772"/>
      <c r="F40" s="772"/>
      <c r="G40" s="773"/>
      <c r="H40" s="771"/>
      <c r="I40" s="772"/>
      <c r="J40" s="772"/>
      <c r="K40" s="773"/>
      <c r="L40" s="774"/>
      <c r="M40" s="773"/>
    </row>
    <row r="41" spans="1:13" ht="15.75">
      <c r="A41" s="775"/>
      <c r="B41" s="776" t="s">
        <v>370</v>
      </c>
      <c r="C41" s="958" t="s">
        <v>360</v>
      </c>
      <c r="D41" s="777"/>
      <c r="E41" s="778">
        <v>70184481</v>
      </c>
      <c r="F41" s="959" t="s">
        <v>361</v>
      </c>
      <c r="G41" s="950">
        <f>E41/E42</f>
        <v>0.9702336582122935</v>
      </c>
      <c r="H41" s="777"/>
      <c r="I41" s="778">
        <f>'[7]14.sz.melléklet'!F36</f>
        <v>71472263</v>
      </c>
      <c r="J41" s="959" t="s">
        <v>361</v>
      </c>
      <c r="K41" s="950">
        <f>(I41/I42)</f>
        <v>0.8960445917447583</v>
      </c>
      <c r="L41" s="951">
        <f>(K41-G41)*100</f>
        <v>-7.41890664675352</v>
      </c>
      <c r="M41" s="773"/>
    </row>
    <row r="42" spans="1:13" ht="15.75">
      <c r="A42" s="775"/>
      <c r="B42" s="779" t="s">
        <v>371</v>
      </c>
      <c r="C42" s="958"/>
      <c r="D42" s="777"/>
      <c r="E42" s="772">
        <v>72337710</v>
      </c>
      <c r="F42" s="959"/>
      <c r="G42" s="950"/>
      <c r="H42" s="777"/>
      <c r="I42" s="772">
        <f>'[7]14.sz.melléklet'!F68</f>
        <v>79764181</v>
      </c>
      <c r="J42" s="959"/>
      <c r="K42" s="950"/>
      <c r="L42" s="951"/>
      <c r="M42" s="773"/>
    </row>
    <row r="43" spans="1:13" ht="15.75">
      <c r="A43" s="952"/>
      <c r="B43" s="953"/>
      <c r="C43" s="954"/>
      <c r="D43" s="788"/>
      <c r="E43" s="781"/>
      <c r="F43" s="789"/>
      <c r="G43" s="790"/>
      <c r="H43" s="955"/>
      <c r="I43" s="956"/>
      <c r="J43" s="956"/>
      <c r="K43" s="957"/>
      <c r="L43" s="783"/>
      <c r="M43" s="784"/>
    </row>
    <row r="44" spans="1:13" ht="15.75">
      <c r="A44" s="769" t="s">
        <v>385</v>
      </c>
      <c r="B44" s="770"/>
      <c r="C44" s="770"/>
      <c r="D44" s="771"/>
      <c r="E44" s="772"/>
      <c r="F44" s="772"/>
      <c r="G44" s="773"/>
      <c r="H44" s="771"/>
      <c r="I44" s="772"/>
      <c r="J44" s="772"/>
      <c r="K44" s="773"/>
      <c r="L44" s="774"/>
      <c r="M44" s="773"/>
    </row>
    <row r="45" spans="1:13" ht="15.75">
      <c r="A45" s="791" t="s">
        <v>0</v>
      </c>
      <c r="B45" s="776" t="s">
        <v>372</v>
      </c>
      <c r="C45" s="958" t="s">
        <v>360</v>
      </c>
      <c r="D45" s="777"/>
      <c r="E45" s="778">
        <v>1689989</v>
      </c>
      <c r="F45" s="959" t="s">
        <v>361</v>
      </c>
      <c r="G45" s="950">
        <f>E45/E46</f>
        <v>0.02336248963369175</v>
      </c>
      <c r="H45" s="777"/>
      <c r="I45" s="778">
        <f>I37-'[7]14.sz.melléklet'!F66</f>
        <v>7895990</v>
      </c>
      <c r="J45" s="959" t="s">
        <v>361</v>
      </c>
      <c r="K45" s="950">
        <f>(I45/I46)</f>
        <v>0.09899167647693895</v>
      </c>
      <c r="L45" s="951">
        <f>(K45-G45)*100</f>
        <v>7.562918684324719</v>
      </c>
      <c r="M45" s="773"/>
    </row>
    <row r="46" spans="1:13" ht="15.75">
      <c r="A46" s="775"/>
      <c r="B46" s="779" t="s">
        <v>371</v>
      </c>
      <c r="C46" s="958"/>
      <c r="D46" s="777"/>
      <c r="E46" s="772">
        <v>72337710</v>
      </c>
      <c r="F46" s="959"/>
      <c r="G46" s="950"/>
      <c r="H46" s="777"/>
      <c r="I46" s="772">
        <f>I42</f>
        <v>79764181</v>
      </c>
      <c r="J46" s="959"/>
      <c r="K46" s="950"/>
      <c r="L46" s="951"/>
      <c r="M46" s="773"/>
    </row>
    <row r="47" spans="1:13" ht="15.75">
      <c r="A47" s="952"/>
      <c r="B47" s="953"/>
      <c r="C47" s="954"/>
      <c r="D47" s="780"/>
      <c r="E47" s="781"/>
      <c r="F47" s="781"/>
      <c r="G47" s="782"/>
      <c r="H47" s="955"/>
      <c r="I47" s="956"/>
      <c r="J47" s="956"/>
      <c r="K47" s="957"/>
      <c r="L47" s="783"/>
      <c r="M47" s="784"/>
    </row>
    <row r="48" spans="1:13" ht="15.75">
      <c r="A48" s="960" t="s">
        <v>386</v>
      </c>
      <c r="B48" s="961"/>
      <c r="C48" s="961"/>
      <c r="D48" s="771"/>
      <c r="E48" s="772"/>
      <c r="F48" s="772"/>
      <c r="G48" s="773"/>
      <c r="H48" s="771"/>
      <c r="I48" s="772"/>
      <c r="J48" s="772"/>
      <c r="K48" s="773"/>
      <c r="L48" s="774"/>
      <c r="M48" s="773"/>
    </row>
    <row r="49" spans="1:13" ht="15.75">
      <c r="A49" s="775"/>
      <c r="B49" s="776" t="s">
        <v>373</v>
      </c>
      <c r="C49" s="958" t="s">
        <v>360</v>
      </c>
      <c r="D49" s="777"/>
      <c r="E49" s="778">
        <v>64526292</v>
      </c>
      <c r="F49" s="959" t="s">
        <v>361</v>
      </c>
      <c r="G49" s="950">
        <f>E49/E50</f>
        <v>0.8920145799473055</v>
      </c>
      <c r="H49" s="777"/>
      <c r="I49" s="778">
        <f>'[7]14.sz.melléklet'!F76</f>
        <v>62832206</v>
      </c>
      <c r="J49" s="959" t="s">
        <v>361</v>
      </c>
      <c r="K49" s="950">
        <f>(I49/I50)</f>
        <v>0.7877245802849778</v>
      </c>
      <c r="L49" s="951">
        <f>(K49-G49)*100</f>
        <v>-10.428999966232766</v>
      </c>
      <c r="M49" s="773"/>
    </row>
    <row r="50" spans="1:13" ht="15.75">
      <c r="A50" s="775"/>
      <c r="B50" s="779" t="s">
        <v>374</v>
      </c>
      <c r="C50" s="958"/>
      <c r="D50" s="777"/>
      <c r="E50" s="772">
        <v>72337710</v>
      </c>
      <c r="F50" s="959"/>
      <c r="G50" s="950"/>
      <c r="H50" s="777"/>
      <c r="I50" s="772">
        <f>'[7]14.sz.melléklet'!F68</f>
        <v>79764181</v>
      </c>
      <c r="J50" s="959"/>
      <c r="K50" s="950"/>
      <c r="L50" s="951"/>
      <c r="M50" s="773"/>
    </row>
    <row r="51" spans="1:13" ht="15.75">
      <c r="A51" s="952"/>
      <c r="B51" s="953"/>
      <c r="C51" s="954"/>
      <c r="D51" s="780"/>
      <c r="E51" s="781"/>
      <c r="F51" s="781"/>
      <c r="G51" s="782"/>
      <c r="H51" s="962"/>
      <c r="I51" s="963"/>
      <c r="J51" s="963"/>
      <c r="K51" s="964"/>
      <c r="L51" s="783"/>
      <c r="M51" s="784"/>
    </row>
    <row r="52" spans="1:13" ht="15.75">
      <c r="A52" s="792"/>
      <c r="B52" s="792"/>
      <c r="C52" s="792"/>
      <c r="D52" s="793"/>
      <c r="E52" s="793"/>
      <c r="F52" s="793"/>
      <c r="G52" s="793"/>
      <c r="H52" s="794"/>
      <c r="I52" s="794"/>
      <c r="J52" s="794"/>
      <c r="K52" s="794"/>
      <c r="L52" s="795"/>
      <c r="M52" s="770"/>
    </row>
    <row r="53" spans="1:15" ht="15.75">
      <c r="A53" s="770"/>
      <c r="B53" s="770"/>
      <c r="C53" s="770"/>
      <c r="D53" s="793"/>
      <c r="E53" s="772"/>
      <c r="F53" s="772"/>
      <c r="G53" s="770"/>
      <c r="H53" s="793"/>
      <c r="I53" s="772"/>
      <c r="J53" s="772"/>
      <c r="K53" s="770"/>
      <c r="L53" s="770"/>
      <c r="M53" s="766" t="s">
        <v>11</v>
      </c>
      <c r="O53" s="759" t="s">
        <v>0</v>
      </c>
    </row>
    <row r="54" spans="1:13" ht="15.75">
      <c r="A54" s="937" t="s">
        <v>355</v>
      </c>
      <c r="B54" s="938"/>
      <c r="C54" s="938"/>
      <c r="D54" s="941" t="s">
        <v>1</v>
      </c>
      <c r="E54" s="942"/>
      <c r="F54" s="942"/>
      <c r="G54" s="943"/>
      <c r="H54" s="942" t="s">
        <v>10</v>
      </c>
      <c r="I54" s="942"/>
      <c r="J54" s="942"/>
      <c r="K54" s="942"/>
      <c r="L54" s="947" t="s">
        <v>356</v>
      </c>
      <c r="M54" s="948"/>
    </row>
    <row r="55" spans="1:13" ht="15.75">
      <c r="A55" s="939"/>
      <c r="B55" s="940"/>
      <c r="C55" s="940"/>
      <c r="D55" s="944"/>
      <c r="E55" s="945"/>
      <c r="F55" s="945"/>
      <c r="G55" s="946"/>
      <c r="H55" s="945"/>
      <c r="I55" s="945"/>
      <c r="J55" s="945"/>
      <c r="K55" s="945"/>
      <c r="L55" s="767" t="s">
        <v>357</v>
      </c>
      <c r="M55" s="768" t="s">
        <v>358</v>
      </c>
    </row>
    <row r="56" spans="1:13" ht="15.75">
      <c r="A56" s="796"/>
      <c r="B56" s="797"/>
      <c r="C56" s="797"/>
      <c r="D56" s="798"/>
      <c r="E56" s="799"/>
      <c r="F56" s="799"/>
      <c r="G56" s="800"/>
      <c r="H56" s="798"/>
      <c r="I56" s="799"/>
      <c r="J56" s="799"/>
      <c r="K56" s="800"/>
      <c r="L56" s="801"/>
      <c r="M56" s="802"/>
    </row>
    <row r="57" spans="1:13" ht="15.75">
      <c r="A57" s="769" t="s">
        <v>387</v>
      </c>
      <c r="B57" s="770"/>
      <c r="C57" s="770"/>
      <c r="D57" s="771"/>
      <c r="E57" s="772"/>
      <c r="F57" s="772"/>
      <c r="G57" s="773"/>
      <c r="H57" s="771"/>
      <c r="I57" s="772"/>
      <c r="J57" s="772"/>
      <c r="K57" s="773"/>
      <c r="L57" s="774"/>
      <c r="M57" s="773"/>
    </row>
    <row r="58" spans="1:13" ht="15.75">
      <c r="A58" s="775"/>
      <c r="B58" s="770"/>
      <c r="C58" s="770"/>
      <c r="D58" s="771"/>
      <c r="E58" s="772"/>
      <c r="F58" s="772"/>
      <c r="G58" s="773"/>
      <c r="H58" s="771"/>
      <c r="I58" s="772"/>
      <c r="J58" s="772"/>
      <c r="K58" s="773"/>
      <c r="L58" s="774"/>
      <c r="M58" s="773"/>
    </row>
    <row r="59" spans="1:13" ht="15.75">
      <c r="A59" s="775"/>
      <c r="B59" s="776" t="s">
        <v>373</v>
      </c>
      <c r="C59" s="958" t="s">
        <v>360</v>
      </c>
      <c r="D59" s="777"/>
      <c r="E59" s="778">
        <v>64526292</v>
      </c>
      <c r="F59" s="959" t="s">
        <v>361</v>
      </c>
      <c r="G59" s="950">
        <f>E59/E60</f>
        <v>0.9193811948256766</v>
      </c>
      <c r="H59" s="777"/>
      <c r="I59" s="778">
        <f>I49</f>
        <v>62832206</v>
      </c>
      <c r="J59" s="959" t="s">
        <v>361</v>
      </c>
      <c r="K59" s="950">
        <f>(I59/I60)</f>
        <v>0.8791131463124373</v>
      </c>
      <c r="L59" s="951">
        <f>(K59-G59)*100</f>
        <v>-4.026804851323929</v>
      </c>
      <c r="M59" s="773"/>
    </row>
    <row r="60" spans="1:13" ht="15.75">
      <c r="A60" s="775"/>
      <c r="B60" s="779" t="s">
        <v>370</v>
      </c>
      <c r="C60" s="958"/>
      <c r="D60" s="777"/>
      <c r="E60" s="772">
        <v>70184481</v>
      </c>
      <c r="F60" s="959"/>
      <c r="G60" s="950"/>
      <c r="H60" s="777"/>
      <c r="I60" s="772">
        <f>SUM(I41)</f>
        <v>71472263</v>
      </c>
      <c r="J60" s="959"/>
      <c r="K60" s="950"/>
      <c r="L60" s="951"/>
      <c r="M60" s="773"/>
    </row>
    <row r="61" spans="1:13" ht="15.75">
      <c r="A61" s="952"/>
      <c r="B61" s="953"/>
      <c r="C61" s="954"/>
      <c r="D61" s="788"/>
      <c r="E61" s="781"/>
      <c r="F61" s="789"/>
      <c r="G61" s="790"/>
      <c r="H61" s="955"/>
      <c r="I61" s="956"/>
      <c r="J61" s="956"/>
      <c r="K61" s="957"/>
      <c r="L61" s="783"/>
      <c r="M61" s="784"/>
    </row>
    <row r="62" spans="1:13" ht="15.75">
      <c r="A62" s="769" t="s">
        <v>388</v>
      </c>
      <c r="B62" s="770"/>
      <c r="C62" s="770"/>
      <c r="D62" s="771"/>
      <c r="E62" s="772"/>
      <c r="F62" s="772"/>
      <c r="G62" s="773"/>
      <c r="H62" s="771"/>
      <c r="I62" s="772"/>
      <c r="J62" s="772"/>
      <c r="K62" s="773"/>
      <c r="L62" s="774"/>
      <c r="M62" s="773"/>
    </row>
    <row r="63" spans="1:13" ht="15.75">
      <c r="A63" s="775"/>
      <c r="B63" s="770"/>
      <c r="C63" s="770"/>
      <c r="D63" s="771"/>
      <c r="E63" s="772"/>
      <c r="F63" s="772"/>
      <c r="G63" s="773"/>
      <c r="H63" s="771"/>
      <c r="I63" s="772"/>
      <c r="J63" s="772"/>
      <c r="K63" s="773"/>
      <c r="L63" s="774"/>
      <c r="M63" s="773"/>
    </row>
    <row r="64" spans="1:13" ht="15.75">
      <c r="A64" s="775"/>
      <c r="B64" s="776" t="s">
        <v>375</v>
      </c>
      <c r="C64" s="958" t="s">
        <v>360</v>
      </c>
      <c r="D64" s="777"/>
      <c r="E64" s="778">
        <v>67715972</v>
      </c>
      <c r="F64" s="959" t="s">
        <v>361</v>
      </c>
      <c r="G64" s="950">
        <f>E64/E65</f>
        <v>0.9648282787757596</v>
      </c>
      <c r="H64" s="777"/>
      <c r="I64" s="778">
        <f>I59+'[7]14.sz.melléklet'!F99</f>
        <v>74558820</v>
      </c>
      <c r="J64" s="959" t="s">
        <v>361</v>
      </c>
      <c r="K64" s="950">
        <f>(I64/I65)</f>
        <v>1.0431853822789967</v>
      </c>
      <c r="L64" s="951">
        <f>(K64-G64)*100</f>
        <v>7.83571035032371</v>
      </c>
      <c r="M64" s="787"/>
    </row>
    <row r="65" spans="1:13" ht="15.75">
      <c r="A65" s="775"/>
      <c r="B65" s="779" t="s">
        <v>370</v>
      </c>
      <c r="C65" s="958"/>
      <c r="D65" s="777"/>
      <c r="E65" s="772">
        <f>E60</f>
        <v>70184481</v>
      </c>
      <c r="F65" s="959"/>
      <c r="G65" s="950"/>
      <c r="H65" s="777"/>
      <c r="I65" s="772">
        <f>SUM(I60)</f>
        <v>71472263</v>
      </c>
      <c r="J65" s="959"/>
      <c r="K65" s="950"/>
      <c r="L65" s="951"/>
      <c r="M65" s="773"/>
    </row>
    <row r="66" spans="1:13" ht="15.75">
      <c r="A66" s="952"/>
      <c r="B66" s="953"/>
      <c r="C66" s="954"/>
      <c r="D66" s="780"/>
      <c r="E66" s="781"/>
      <c r="F66" s="781"/>
      <c r="G66" s="782"/>
      <c r="H66" s="962"/>
      <c r="I66" s="963"/>
      <c r="J66" s="963"/>
      <c r="K66" s="964"/>
      <c r="L66" s="803"/>
      <c r="M66" s="784"/>
    </row>
    <row r="67" spans="1:13" ht="15.75">
      <c r="A67" s="960" t="s">
        <v>389</v>
      </c>
      <c r="B67" s="961"/>
      <c r="C67" s="961"/>
      <c r="D67" s="771"/>
      <c r="E67" s="772"/>
      <c r="F67" s="772"/>
      <c r="G67" s="773"/>
      <c r="H67" s="771"/>
      <c r="I67" s="772"/>
      <c r="J67" s="772"/>
      <c r="K67" s="773"/>
      <c r="L67" s="774"/>
      <c r="M67" s="773"/>
    </row>
    <row r="68" spans="1:13" ht="15.75">
      <c r="A68" s="775"/>
      <c r="B68" s="770"/>
      <c r="C68" s="770"/>
      <c r="D68" s="771"/>
      <c r="E68" s="772"/>
      <c r="F68" s="772"/>
      <c r="G68" s="773"/>
      <c r="H68" s="771"/>
      <c r="I68" s="772"/>
      <c r="J68" s="772"/>
      <c r="K68" s="773"/>
      <c r="L68" s="774"/>
      <c r="M68" s="773"/>
    </row>
    <row r="69" spans="1:13" ht="15.75">
      <c r="A69" s="775"/>
      <c r="B69" s="776" t="s">
        <v>376</v>
      </c>
      <c r="C69" s="958" t="s">
        <v>360</v>
      </c>
      <c r="D69" s="777"/>
      <c r="E69" s="778">
        <v>2153229</v>
      </c>
      <c r="F69" s="959" t="s">
        <v>361</v>
      </c>
      <c r="G69" s="950">
        <f>E69/E70</f>
        <v>0.03336979289000521</v>
      </c>
      <c r="H69" s="777"/>
      <c r="I69" s="778">
        <f>I37</f>
        <v>8291918</v>
      </c>
      <c r="J69" s="959" t="s">
        <v>361</v>
      </c>
      <c r="K69" s="950">
        <f>(I69/I70)</f>
        <v>0.1319692324665475</v>
      </c>
      <c r="L69" s="951">
        <f>(K69-G69)*100</f>
        <v>9.859943957654227</v>
      </c>
      <c r="M69" s="773"/>
    </row>
    <row r="70" spans="1:13" ht="15.75">
      <c r="A70" s="775"/>
      <c r="B70" s="779" t="s">
        <v>373</v>
      </c>
      <c r="C70" s="958"/>
      <c r="D70" s="777"/>
      <c r="E70" s="772">
        <f>E59</f>
        <v>64526292</v>
      </c>
      <c r="F70" s="959"/>
      <c r="G70" s="950"/>
      <c r="H70" s="777"/>
      <c r="I70" s="772">
        <f>SUM(I59)</f>
        <v>62832206</v>
      </c>
      <c r="J70" s="959"/>
      <c r="K70" s="950"/>
      <c r="L70" s="951"/>
      <c r="M70" s="773"/>
    </row>
    <row r="71" spans="1:13" ht="15.75">
      <c r="A71" s="952"/>
      <c r="B71" s="953"/>
      <c r="C71" s="954"/>
      <c r="D71" s="780"/>
      <c r="E71" s="781"/>
      <c r="F71" s="781"/>
      <c r="G71" s="782"/>
      <c r="H71" s="962"/>
      <c r="I71" s="963"/>
      <c r="J71" s="963"/>
      <c r="K71" s="964"/>
      <c r="L71" s="804"/>
      <c r="M71" s="804"/>
    </row>
    <row r="72" spans="1:13" ht="15.75">
      <c r="A72" s="769" t="s">
        <v>390</v>
      </c>
      <c r="B72" s="770"/>
      <c r="C72" s="770"/>
      <c r="D72" s="771"/>
      <c r="E72" s="772"/>
      <c r="F72" s="772"/>
      <c r="G72" s="773"/>
      <c r="H72" s="771"/>
      <c r="I72" s="772"/>
      <c r="J72" s="772"/>
      <c r="K72" s="773"/>
      <c r="L72" s="805"/>
      <c r="M72" s="805"/>
    </row>
    <row r="73" spans="1:13" ht="15.75">
      <c r="A73" s="775"/>
      <c r="B73" s="770"/>
      <c r="C73" s="770"/>
      <c r="D73" s="771"/>
      <c r="E73" s="772"/>
      <c r="F73" s="772"/>
      <c r="G73" s="773"/>
      <c r="H73" s="771"/>
      <c r="I73" s="772"/>
      <c r="J73" s="772"/>
      <c r="K73" s="773"/>
      <c r="L73" s="774"/>
      <c r="M73" s="773"/>
    </row>
    <row r="74" spans="1:13" ht="15.75">
      <c r="A74" s="775"/>
      <c r="B74" s="776" t="s">
        <v>377</v>
      </c>
      <c r="C74" s="958" t="s">
        <v>360</v>
      </c>
      <c r="D74" s="777"/>
      <c r="E74" s="778">
        <v>522971</v>
      </c>
      <c r="F74" s="959" t="s">
        <v>361</v>
      </c>
      <c r="G74" s="950">
        <f>E74/E75</f>
        <v>0.007229576385539437</v>
      </c>
      <c r="H74" s="777"/>
      <c r="I74" s="778">
        <f>'[7]14.sz.melléklet'!F92</f>
        <v>1791795</v>
      </c>
      <c r="J74" s="959" t="s">
        <v>361</v>
      </c>
      <c r="K74" s="950">
        <f>(I74/I75)</f>
        <v>0.022463654456628845</v>
      </c>
      <c r="L74" s="951">
        <f>(K74-G74)*100</f>
        <v>1.5234078071089407</v>
      </c>
      <c r="M74" s="773"/>
    </row>
    <row r="75" spans="1:13" ht="15.75">
      <c r="A75" s="775"/>
      <c r="B75" s="779" t="s">
        <v>374</v>
      </c>
      <c r="C75" s="958"/>
      <c r="D75" s="777"/>
      <c r="E75" s="772">
        <v>72337710</v>
      </c>
      <c r="F75" s="959"/>
      <c r="G75" s="950"/>
      <c r="H75" s="777"/>
      <c r="I75" s="772">
        <f>SUM(I50)</f>
        <v>79764181</v>
      </c>
      <c r="J75" s="959"/>
      <c r="K75" s="950"/>
      <c r="L75" s="951"/>
      <c r="M75" s="773"/>
    </row>
    <row r="76" spans="1:13" ht="15.75">
      <c r="A76" s="952"/>
      <c r="B76" s="953"/>
      <c r="C76" s="954"/>
      <c r="D76" s="788"/>
      <c r="E76" s="781"/>
      <c r="F76" s="789"/>
      <c r="G76" s="790"/>
      <c r="H76" s="955"/>
      <c r="I76" s="956"/>
      <c r="J76" s="956"/>
      <c r="K76" s="957"/>
      <c r="L76" s="783"/>
      <c r="M76" s="784"/>
    </row>
    <row r="77" spans="1:13" ht="15.75">
      <c r="A77" s="769" t="s">
        <v>391</v>
      </c>
      <c r="B77" s="770"/>
      <c r="C77" s="770"/>
      <c r="D77" s="771"/>
      <c r="E77" s="772"/>
      <c r="F77" s="772"/>
      <c r="G77" s="773"/>
      <c r="H77" s="771"/>
      <c r="I77" s="772"/>
      <c r="J77" s="772"/>
      <c r="K77" s="773"/>
      <c r="L77" s="774"/>
      <c r="M77" s="773"/>
    </row>
    <row r="78" spans="1:13" ht="15.75">
      <c r="A78" s="775"/>
      <c r="B78" s="770"/>
      <c r="C78" s="770"/>
      <c r="D78" s="771"/>
      <c r="E78" s="772"/>
      <c r="F78" s="772"/>
      <c r="G78" s="773"/>
      <c r="H78" s="771"/>
      <c r="I78" s="772"/>
      <c r="J78" s="772"/>
      <c r="K78" s="773"/>
      <c r="L78" s="774"/>
      <c r="M78" s="773"/>
    </row>
    <row r="79" spans="1:13" ht="15.75">
      <c r="A79" s="775"/>
      <c r="B79" s="776" t="s">
        <v>373</v>
      </c>
      <c r="C79" s="958" t="s">
        <v>360</v>
      </c>
      <c r="D79" s="806"/>
      <c r="E79" s="778">
        <f>E70</f>
        <v>64526292</v>
      </c>
      <c r="F79" s="959" t="s">
        <v>361</v>
      </c>
      <c r="G79" s="950">
        <f>E79/E80</f>
        <v>21.45342845686692</v>
      </c>
      <c r="H79" s="777"/>
      <c r="I79" s="778">
        <f>I59</f>
        <v>62832206</v>
      </c>
      <c r="J79" s="959" t="s">
        <v>361</v>
      </c>
      <c r="K79" s="950">
        <f>(I79/I80)</f>
        <v>18.97775213805581</v>
      </c>
      <c r="L79" s="951">
        <f>(K79-G79)*100</f>
        <v>-247.56763188111108</v>
      </c>
      <c r="M79" s="773"/>
    </row>
    <row r="80" spans="1:13" ht="15.75">
      <c r="A80" s="775"/>
      <c r="B80" s="779" t="s">
        <v>378</v>
      </c>
      <c r="C80" s="958"/>
      <c r="D80" s="806"/>
      <c r="E80" s="772">
        <v>3007738</v>
      </c>
      <c r="F80" s="959"/>
      <c r="G80" s="950"/>
      <c r="H80" s="777"/>
      <c r="I80" s="772">
        <f>'[7]14.sz.melléklet'!F73</f>
        <v>3310835</v>
      </c>
      <c r="J80" s="959"/>
      <c r="K80" s="950"/>
      <c r="L80" s="951"/>
      <c r="M80" s="773"/>
    </row>
    <row r="81" spans="1:13" ht="15.75">
      <c r="A81" s="952"/>
      <c r="B81" s="953"/>
      <c r="C81" s="954"/>
      <c r="D81" s="807"/>
      <c r="E81" s="781"/>
      <c r="F81" s="789"/>
      <c r="G81" s="790"/>
      <c r="H81" s="962"/>
      <c r="I81" s="963"/>
      <c r="J81" s="963"/>
      <c r="K81" s="964"/>
      <c r="L81" s="783"/>
      <c r="M81" s="784"/>
    </row>
    <row r="86" ht="15.75">
      <c r="B86" s="808"/>
    </row>
    <row r="87" ht="15.75">
      <c r="B87" s="808"/>
    </row>
    <row r="88" ht="15.75">
      <c r="B88" s="808"/>
    </row>
    <row r="89" ht="15.75">
      <c r="B89" s="808"/>
    </row>
    <row r="90" ht="15.75">
      <c r="B90" s="808"/>
    </row>
    <row r="91" ht="15.75">
      <c r="B91" s="808"/>
    </row>
  </sheetData>
  <mergeCells count="123">
    <mergeCell ref="K79:K80"/>
    <mergeCell ref="L79:L80"/>
    <mergeCell ref="A81:C81"/>
    <mergeCell ref="H81:K81"/>
    <mergeCell ref="C79:C80"/>
    <mergeCell ref="F79:F80"/>
    <mergeCell ref="G79:G80"/>
    <mergeCell ref="J79:J80"/>
    <mergeCell ref="K74:K75"/>
    <mergeCell ref="L74:L75"/>
    <mergeCell ref="A76:C76"/>
    <mergeCell ref="H76:K76"/>
    <mergeCell ref="C74:C75"/>
    <mergeCell ref="F74:F75"/>
    <mergeCell ref="G74:G75"/>
    <mergeCell ref="J74:J75"/>
    <mergeCell ref="J69:J70"/>
    <mergeCell ref="K69:K70"/>
    <mergeCell ref="L69:L70"/>
    <mergeCell ref="A71:C71"/>
    <mergeCell ref="H71:K71"/>
    <mergeCell ref="A67:C67"/>
    <mergeCell ref="C69:C70"/>
    <mergeCell ref="F69:F70"/>
    <mergeCell ref="G69:G70"/>
    <mergeCell ref="K64:K65"/>
    <mergeCell ref="L64:L65"/>
    <mergeCell ref="A66:C66"/>
    <mergeCell ref="H66:K66"/>
    <mergeCell ref="C64:C65"/>
    <mergeCell ref="F64:F65"/>
    <mergeCell ref="G64:G65"/>
    <mergeCell ref="J64:J65"/>
    <mergeCell ref="K59:K60"/>
    <mergeCell ref="L59:L60"/>
    <mergeCell ref="A61:C61"/>
    <mergeCell ref="H61:K61"/>
    <mergeCell ref="C59:C60"/>
    <mergeCell ref="F59:F60"/>
    <mergeCell ref="G59:G60"/>
    <mergeCell ref="J59:J60"/>
    <mergeCell ref="A54:C55"/>
    <mergeCell ref="D54:G55"/>
    <mergeCell ref="H54:K55"/>
    <mergeCell ref="L54:M54"/>
    <mergeCell ref="J49:J50"/>
    <mergeCell ref="K49:K50"/>
    <mergeCell ref="L49:L50"/>
    <mergeCell ref="A51:C51"/>
    <mergeCell ref="H51:K51"/>
    <mergeCell ref="A48:C48"/>
    <mergeCell ref="C49:C50"/>
    <mergeCell ref="F49:F50"/>
    <mergeCell ref="G49:G50"/>
    <mergeCell ref="K45:K46"/>
    <mergeCell ref="L45:L46"/>
    <mergeCell ref="A47:C47"/>
    <mergeCell ref="H47:K47"/>
    <mergeCell ref="C45:C46"/>
    <mergeCell ref="F45:F46"/>
    <mergeCell ref="G45:G46"/>
    <mergeCell ref="J45:J46"/>
    <mergeCell ref="K41:K42"/>
    <mergeCell ref="L41:L42"/>
    <mergeCell ref="A43:C43"/>
    <mergeCell ref="H43:K43"/>
    <mergeCell ref="C41:C42"/>
    <mergeCell ref="F41:F42"/>
    <mergeCell ref="G41:G42"/>
    <mergeCell ref="J41:J42"/>
    <mergeCell ref="J37:J38"/>
    <mergeCell ref="K37:K38"/>
    <mergeCell ref="L37:L38"/>
    <mergeCell ref="A39:C39"/>
    <mergeCell ref="H39:K39"/>
    <mergeCell ref="A36:C36"/>
    <mergeCell ref="C37:C38"/>
    <mergeCell ref="F37:F38"/>
    <mergeCell ref="G37:G38"/>
    <mergeCell ref="K33:K34"/>
    <mergeCell ref="L33:L34"/>
    <mergeCell ref="A35:C35"/>
    <mergeCell ref="H35:K35"/>
    <mergeCell ref="C33:C34"/>
    <mergeCell ref="F33:F34"/>
    <mergeCell ref="G33:G34"/>
    <mergeCell ref="J33:J34"/>
    <mergeCell ref="A29:C30"/>
    <mergeCell ref="D29:G30"/>
    <mergeCell ref="H29:K30"/>
    <mergeCell ref="L29:M29"/>
    <mergeCell ref="K22:K23"/>
    <mergeCell ref="L22:L23"/>
    <mergeCell ref="A24:C24"/>
    <mergeCell ref="H24:K24"/>
    <mergeCell ref="C22:C23"/>
    <mergeCell ref="F22:F23"/>
    <mergeCell ref="G22:G23"/>
    <mergeCell ref="J22:J23"/>
    <mergeCell ref="J17:J18"/>
    <mergeCell ref="K17:K18"/>
    <mergeCell ref="L17:L18"/>
    <mergeCell ref="A19:C19"/>
    <mergeCell ref="H19:K19"/>
    <mergeCell ref="A15:C15"/>
    <mergeCell ref="C17:C18"/>
    <mergeCell ref="F17:F18"/>
    <mergeCell ref="G17:G18"/>
    <mergeCell ref="K12:K13"/>
    <mergeCell ref="L12:L13"/>
    <mergeCell ref="A14:C14"/>
    <mergeCell ref="H14:K14"/>
    <mergeCell ref="C12:C13"/>
    <mergeCell ref="F12:F13"/>
    <mergeCell ref="G12:G13"/>
    <mergeCell ref="J12:J13"/>
    <mergeCell ref="A1:M1"/>
    <mergeCell ref="B2:L2"/>
    <mergeCell ref="A8:C9"/>
    <mergeCell ref="D8:G9"/>
    <mergeCell ref="H8:K9"/>
    <mergeCell ref="L8:M8"/>
    <mergeCell ref="A4:M4"/>
  </mergeCells>
  <printOptions horizontalCentered="1"/>
  <pageMargins left="0.2" right="0.2" top="0.76" bottom="0.984251968503937" header="0.5118110236220472" footer="0.5118110236220472"/>
  <pageSetup horizontalDpi="600" verticalDpi="600" orientation="landscape" paperSize="9" scale="93" r:id="rId2"/>
  <rowBreaks count="2" manualBreakCount="2">
    <brk id="25" max="12" man="1"/>
    <brk id="52" max="12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M62"/>
  <sheetViews>
    <sheetView workbookViewId="0" topLeftCell="A1">
      <selection activeCell="L17" sqref="L17:L18"/>
    </sheetView>
  </sheetViews>
  <sheetFormatPr defaultColWidth="9.140625" defaultRowHeight="12.75"/>
  <cols>
    <col min="1" max="1" width="30.8515625" style="27" customWidth="1"/>
    <col min="2" max="2" width="11.28125" style="27" bestFit="1" customWidth="1"/>
    <col min="3" max="6" width="9.140625" style="27" customWidth="1"/>
    <col min="7" max="7" width="9.28125" style="27" bestFit="1" customWidth="1"/>
    <col min="8" max="10" width="9.140625" style="27" customWidth="1"/>
    <col min="11" max="11" width="10.57421875" style="27" customWidth="1"/>
    <col min="12" max="12" width="10.00390625" style="27" customWidth="1"/>
    <col min="13" max="13" width="10.57421875" style="27" hidden="1" customWidth="1"/>
    <col min="14" max="16384" width="9.140625" style="27" customWidth="1"/>
  </cols>
  <sheetData>
    <row r="2" spans="1:13" ht="15.75">
      <c r="A2" s="827" t="s">
        <v>85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</row>
    <row r="3" spans="1:13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M4" s="29" t="s">
        <v>12</v>
      </c>
    </row>
    <row r="5" spans="1:13" ht="12.75">
      <c r="A5" s="821" t="s">
        <v>63</v>
      </c>
      <c r="B5" s="824" t="s">
        <v>86</v>
      </c>
      <c r="C5" s="825"/>
      <c r="D5" s="825"/>
      <c r="E5" s="825"/>
      <c r="F5" s="825"/>
      <c r="G5" s="825"/>
      <c r="H5" s="825"/>
      <c r="I5" s="825"/>
      <c r="J5" s="826"/>
      <c r="K5" s="183" t="s">
        <v>87</v>
      </c>
      <c r="L5" s="814" t="s">
        <v>88</v>
      </c>
      <c r="M5" s="816" t="s">
        <v>89</v>
      </c>
    </row>
    <row r="6" spans="1:13" ht="12.75">
      <c r="A6" s="812"/>
      <c r="B6" s="184" t="s">
        <v>90</v>
      </c>
      <c r="C6" s="185" t="s">
        <v>91</v>
      </c>
      <c r="D6" s="185" t="s">
        <v>92</v>
      </c>
      <c r="E6" s="184" t="s">
        <v>93</v>
      </c>
      <c r="F6" s="184" t="s">
        <v>94</v>
      </c>
      <c r="G6" s="184" t="s">
        <v>95</v>
      </c>
      <c r="H6" s="184" t="s">
        <v>96</v>
      </c>
      <c r="I6" s="184" t="s">
        <v>97</v>
      </c>
      <c r="J6" s="184" t="s">
        <v>98</v>
      </c>
      <c r="K6" s="184" t="s">
        <v>99</v>
      </c>
      <c r="L6" s="815"/>
      <c r="M6" s="817"/>
    </row>
    <row r="7" spans="1:13" s="191" customFormat="1" ht="15" customHeight="1">
      <c r="A7" s="186" t="s">
        <v>100</v>
      </c>
      <c r="B7" s="187">
        <v>4504</v>
      </c>
      <c r="C7" s="187">
        <v>5202</v>
      </c>
      <c r="D7" s="187">
        <v>5672</v>
      </c>
      <c r="E7" s="187">
        <v>7892</v>
      </c>
      <c r="F7" s="187">
        <v>7674</v>
      </c>
      <c r="G7" s="187">
        <v>6909</v>
      </c>
      <c r="H7" s="187">
        <v>6870</v>
      </c>
      <c r="I7" s="187">
        <v>8177</v>
      </c>
      <c r="J7" s="187">
        <f>8047-J8+1328+15+1297</f>
        <v>7690</v>
      </c>
      <c r="K7" s="188">
        <f>SUM(J7/B7*100)</f>
        <v>170.73712255772645</v>
      </c>
      <c r="L7" s="189">
        <f>1338+471+4146+608+4+10+2</f>
        <v>6579</v>
      </c>
      <c r="M7" s="190">
        <f>7154-M8+1165+12+934+400+100</f>
        <v>7758</v>
      </c>
    </row>
    <row r="8" spans="1:13" ht="15" customHeight="1">
      <c r="A8" s="192" t="s">
        <v>101</v>
      </c>
      <c r="B8" s="34">
        <v>1295</v>
      </c>
      <c r="C8" s="34">
        <v>1250</v>
      </c>
      <c r="D8" s="34">
        <v>1389</v>
      </c>
      <c r="E8" s="34">
        <v>1713</v>
      </c>
      <c r="F8" s="34">
        <v>1999</v>
      </c>
      <c r="G8" s="34">
        <v>2393</v>
      </c>
      <c r="H8" s="34">
        <v>2758</v>
      </c>
      <c r="I8" s="34">
        <v>2858</v>
      </c>
      <c r="J8" s="34">
        <v>2997</v>
      </c>
      <c r="K8" s="188">
        <f aca="true" t="shared" si="0" ref="K8:K15">SUM(J8/B8*100)</f>
        <v>231.42857142857144</v>
      </c>
      <c r="L8" s="35">
        <v>2859</v>
      </c>
      <c r="M8" s="153">
        <v>2007</v>
      </c>
    </row>
    <row r="9" spans="1:13" ht="15" customHeight="1">
      <c r="A9" s="192" t="s">
        <v>102</v>
      </c>
      <c r="B9" s="34">
        <v>3221</v>
      </c>
      <c r="C9" s="34">
        <v>3778</v>
      </c>
      <c r="D9" s="34">
        <v>3578</v>
      </c>
      <c r="E9" s="34">
        <v>4046</v>
      </c>
      <c r="F9" s="34">
        <v>5167</v>
      </c>
      <c r="G9" s="34">
        <v>6655</v>
      </c>
      <c r="H9" s="34">
        <v>6843</v>
      </c>
      <c r="I9" s="34">
        <v>7554</v>
      </c>
      <c r="J9" s="34">
        <v>7152</v>
      </c>
      <c r="K9" s="188">
        <f t="shared" si="0"/>
        <v>222.0428438373176</v>
      </c>
      <c r="L9" s="35">
        <f>7528-297</f>
        <v>7231</v>
      </c>
      <c r="M9" s="153">
        <v>6560</v>
      </c>
    </row>
    <row r="10" spans="1:13" ht="15" customHeight="1">
      <c r="A10" s="192" t="s">
        <v>103</v>
      </c>
      <c r="B10" s="34">
        <v>269</v>
      </c>
      <c r="C10" s="34">
        <v>288</v>
      </c>
      <c r="D10" s="34">
        <v>1194</v>
      </c>
      <c r="E10" s="34">
        <v>630</v>
      </c>
      <c r="F10" s="34">
        <v>603</v>
      </c>
      <c r="G10" s="34">
        <v>663</v>
      </c>
      <c r="H10" s="34">
        <v>841</v>
      </c>
      <c r="I10" s="34">
        <v>841</v>
      </c>
      <c r="J10" s="34">
        <v>986</v>
      </c>
      <c r="K10" s="188">
        <f t="shared" si="0"/>
        <v>366.542750929368</v>
      </c>
      <c r="L10" s="35">
        <v>548</v>
      </c>
      <c r="M10" s="153">
        <v>263</v>
      </c>
    </row>
    <row r="11" spans="1:13" s="191" customFormat="1" ht="15" customHeight="1">
      <c r="A11" s="193" t="s">
        <v>104</v>
      </c>
      <c r="B11" s="187">
        <f>SUM(B8:B10)</f>
        <v>4785</v>
      </c>
      <c r="C11" s="187">
        <f aca="true" t="shared" si="1" ref="C11:L11">SUM(C8:C10)</f>
        <v>5316</v>
      </c>
      <c r="D11" s="187">
        <f t="shared" si="1"/>
        <v>6161</v>
      </c>
      <c r="E11" s="187">
        <f t="shared" si="1"/>
        <v>6389</v>
      </c>
      <c r="F11" s="187">
        <f t="shared" si="1"/>
        <v>7769</v>
      </c>
      <c r="G11" s="187">
        <f t="shared" si="1"/>
        <v>9711</v>
      </c>
      <c r="H11" s="187">
        <f t="shared" si="1"/>
        <v>10442</v>
      </c>
      <c r="I11" s="187">
        <f t="shared" si="1"/>
        <v>11253</v>
      </c>
      <c r="J11" s="187">
        <f t="shared" si="1"/>
        <v>11135</v>
      </c>
      <c r="K11" s="188">
        <f t="shared" si="0"/>
        <v>232.70637408568442</v>
      </c>
      <c r="L11" s="189">
        <f t="shared" si="1"/>
        <v>10638</v>
      </c>
      <c r="M11" s="194">
        <f>SUM(M8:M10)</f>
        <v>8830</v>
      </c>
    </row>
    <row r="12" spans="1:13" ht="15" customHeight="1">
      <c r="A12" s="193" t="s">
        <v>105</v>
      </c>
      <c r="B12" s="187">
        <v>774</v>
      </c>
      <c r="C12" s="187">
        <v>359</v>
      </c>
      <c r="D12" s="187">
        <v>763</v>
      </c>
      <c r="E12" s="187">
        <v>2657</v>
      </c>
      <c r="F12" s="187">
        <v>1580</v>
      </c>
      <c r="G12" s="187">
        <v>722</v>
      </c>
      <c r="H12" s="187">
        <v>1389</v>
      </c>
      <c r="I12" s="187">
        <v>2220</v>
      </c>
      <c r="J12" s="187">
        <v>1489</v>
      </c>
      <c r="K12" s="188">
        <f t="shared" si="0"/>
        <v>192.37726098191214</v>
      </c>
      <c r="L12" s="195">
        <f>1406+297</f>
        <v>1703</v>
      </c>
      <c r="M12" s="194">
        <v>864</v>
      </c>
    </row>
    <row r="13" spans="1:13" ht="15" customHeight="1">
      <c r="A13" s="193" t="s">
        <v>106</v>
      </c>
      <c r="B13" s="187">
        <v>339</v>
      </c>
      <c r="C13" s="187">
        <v>357</v>
      </c>
      <c r="D13" s="187">
        <v>1058</v>
      </c>
      <c r="E13" s="187">
        <v>1532</v>
      </c>
      <c r="F13" s="187">
        <v>382</v>
      </c>
      <c r="G13" s="187">
        <v>129</v>
      </c>
      <c r="H13" s="187">
        <v>474</v>
      </c>
      <c r="I13" s="187">
        <v>367</v>
      </c>
      <c r="J13" s="187">
        <v>2854</v>
      </c>
      <c r="K13" s="188">
        <f t="shared" si="0"/>
        <v>841.8879056047198</v>
      </c>
      <c r="L13" s="195">
        <f>787</f>
        <v>787</v>
      </c>
      <c r="M13" s="194">
        <v>119</v>
      </c>
    </row>
    <row r="14" spans="1:13" ht="15" customHeight="1">
      <c r="A14" s="186" t="s">
        <v>67</v>
      </c>
      <c r="B14" s="187">
        <v>1341</v>
      </c>
      <c r="C14" s="187">
        <v>1197</v>
      </c>
      <c r="D14" s="187">
        <v>1063</v>
      </c>
      <c r="E14" s="187">
        <v>2801</v>
      </c>
      <c r="F14" s="187">
        <v>2058</v>
      </c>
      <c r="G14" s="187">
        <v>988</v>
      </c>
      <c r="H14" s="187">
        <v>1495</v>
      </c>
      <c r="I14" s="187">
        <v>1053</v>
      </c>
      <c r="J14" s="187">
        <v>1115</v>
      </c>
      <c r="K14" s="188">
        <f t="shared" si="0"/>
        <v>83.1469052945563</v>
      </c>
      <c r="L14" s="189">
        <f>395+2072</f>
        <v>2467</v>
      </c>
      <c r="M14" s="190">
        <f>2034+1257</f>
        <v>3291</v>
      </c>
    </row>
    <row r="15" spans="1:13" ht="15" customHeight="1">
      <c r="A15" s="196" t="s">
        <v>107</v>
      </c>
      <c r="B15" s="197">
        <v>106</v>
      </c>
      <c r="C15" s="197">
        <v>32</v>
      </c>
      <c r="D15" s="34"/>
      <c r="E15" s="34">
        <v>177</v>
      </c>
      <c r="F15" s="34">
        <v>990</v>
      </c>
      <c r="G15" s="34">
        <v>3984</v>
      </c>
      <c r="H15" s="34">
        <v>11</v>
      </c>
      <c r="I15" s="34">
        <v>2919</v>
      </c>
      <c r="J15" s="34">
        <v>5310</v>
      </c>
      <c r="K15" s="188">
        <f t="shared" si="0"/>
        <v>5009.433962264151</v>
      </c>
      <c r="L15" s="35">
        <f>7082+821</f>
        <v>7903</v>
      </c>
      <c r="M15" s="148"/>
    </row>
    <row r="16" spans="1:13" ht="16.5" customHeight="1">
      <c r="A16" s="127" t="s">
        <v>108</v>
      </c>
      <c r="B16" s="128">
        <f aca="true" t="shared" si="2" ref="B16:J16">SUM(B15+B14+B13+B12+B11+B7)</f>
        <v>11849</v>
      </c>
      <c r="C16" s="128">
        <f t="shared" si="2"/>
        <v>12463</v>
      </c>
      <c r="D16" s="128">
        <f t="shared" si="2"/>
        <v>14717</v>
      </c>
      <c r="E16" s="128">
        <f t="shared" si="2"/>
        <v>21448</v>
      </c>
      <c r="F16" s="128">
        <f t="shared" si="2"/>
        <v>20453</v>
      </c>
      <c r="G16" s="128">
        <f t="shared" si="2"/>
        <v>22443</v>
      </c>
      <c r="H16" s="128">
        <f t="shared" si="2"/>
        <v>20681</v>
      </c>
      <c r="I16" s="128">
        <f t="shared" si="2"/>
        <v>25989</v>
      </c>
      <c r="J16" s="128">
        <f t="shared" si="2"/>
        <v>29593</v>
      </c>
      <c r="K16" s="198">
        <f>SUM(J16/B16*100)</f>
        <v>249.75103384251835</v>
      </c>
      <c r="L16" s="129">
        <f>SUM(L15+L14+L13+L12+L11+L7)</f>
        <v>30077</v>
      </c>
      <c r="M16" s="149">
        <f>SUM(M15+M14+M13+M12+M11+M7)</f>
        <v>20862</v>
      </c>
    </row>
    <row r="17" spans="1:12" ht="12.75">
      <c r="A17" s="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</row>
    <row r="18" spans="1:13" ht="12.75">
      <c r="A18" s="199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</row>
    <row r="19" spans="1:13" ht="15.75">
      <c r="A19" s="813" t="s">
        <v>109</v>
      </c>
      <c r="B19" s="813"/>
      <c r="C19" s="813"/>
      <c r="D19" s="813"/>
      <c r="E19" s="813"/>
      <c r="F19" s="813"/>
      <c r="G19" s="813"/>
      <c r="H19" s="813"/>
      <c r="I19" s="813"/>
      <c r="J19" s="813"/>
      <c r="K19" s="813"/>
      <c r="L19" s="813"/>
      <c r="M19" s="19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199"/>
    </row>
    <row r="21" spans="1:13" ht="14.25" customHeight="1">
      <c r="A21" s="821" t="s">
        <v>63</v>
      </c>
      <c r="B21" s="824" t="s">
        <v>86</v>
      </c>
      <c r="C21" s="825"/>
      <c r="D21" s="825"/>
      <c r="E21" s="825"/>
      <c r="F21" s="825"/>
      <c r="G21" s="825"/>
      <c r="H21" s="825"/>
      <c r="I21" s="825"/>
      <c r="J21" s="826"/>
      <c r="K21" s="828" t="s">
        <v>110</v>
      </c>
      <c r="L21" s="819" t="s">
        <v>111</v>
      </c>
      <c r="M21" s="199"/>
    </row>
    <row r="22" spans="1:13" ht="14.25" customHeight="1">
      <c r="A22" s="812"/>
      <c r="B22" s="184" t="s">
        <v>90</v>
      </c>
      <c r="C22" s="185" t="s">
        <v>91</v>
      </c>
      <c r="D22" s="185" t="s">
        <v>92</v>
      </c>
      <c r="E22" s="184" t="s">
        <v>93</v>
      </c>
      <c r="F22" s="184" t="s">
        <v>94</v>
      </c>
      <c r="G22" s="184" t="s">
        <v>95</v>
      </c>
      <c r="H22" s="184" t="s">
        <v>96</v>
      </c>
      <c r="I22" s="184" t="s">
        <v>97</v>
      </c>
      <c r="J22" s="184">
        <v>2006</v>
      </c>
      <c r="K22" s="822"/>
      <c r="L22" s="820"/>
      <c r="M22" s="199"/>
    </row>
    <row r="23" spans="1:13" ht="18" customHeight="1">
      <c r="A23" s="201" t="s">
        <v>112</v>
      </c>
      <c r="B23" s="202">
        <f aca="true" t="shared" si="3" ref="B23:I23">B7/B$16</f>
        <v>0.38011646552451683</v>
      </c>
      <c r="C23" s="202">
        <f t="shared" si="3"/>
        <v>0.4173954906523309</v>
      </c>
      <c r="D23" s="202">
        <f t="shared" si="3"/>
        <v>0.38540463409662296</v>
      </c>
      <c r="E23" s="202">
        <f t="shared" si="3"/>
        <v>0.3679597165236852</v>
      </c>
      <c r="F23" s="202">
        <f t="shared" si="3"/>
        <v>0.37520168190485503</v>
      </c>
      <c r="G23" s="202">
        <f t="shared" si="3"/>
        <v>0.30784654457960164</v>
      </c>
      <c r="H23" s="202">
        <f t="shared" si="3"/>
        <v>0.3321889657173251</v>
      </c>
      <c r="I23" s="202">
        <f t="shared" si="3"/>
        <v>0.31463311400977334</v>
      </c>
      <c r="J23" s="202">
        <f>J7/J$16</f>
        <v>0.2598587503801575</v>
      </c>
      <c r="K23" s="203">
        <f>L7/L$16</f>
        <v>0.21873857100109717</v>
      </c>
      <c r="L23" s="204">
        <f>M7/M$16</f>
        <v>0.3718723037100949</v>
      </c>
      <c r="M23" s="199"/>
    </row>
    <row r="24" spans="1:13" ht="18" customHeight="1">
      <c r="A24" s="193" t="s">
        <v>104</v>
      </c>
      <c r="B24" s="205">
        <f aca="true" t="shared" si="4" ref="B24:I24">B11/B16</f>
        <v>0.40383154696598866</v>
      </c>
      <c r="C24" s="205">
        <f t="shared" si="4"/>
        <v>0.42654256599534623</v>
      </c>
      <c r="D24" s="205">
        <f t="shared" si="4"/>
        <v>0.4186315145749813</v>
      </c>
      <c r="E24" s="205">
        <f t="shared" si="4"/>
        <v>0.29788325251771725</v>
      </c>
      <c r="F24" s="205">
        <f t="shared" si="4"/>
        <v>0.3798464772893952</v>
      </c>
      <c r="G24" s="205">
        <f t="shared" si="4"/>
        <v>0.43269616361449004</v>
      </c>
      <c r="H24" s="205">
        <f t="shared" si="4"/>
        <v>0.5049078864658382</v>
      </c>
      <c r="I24" s="205">
        <f t="shared" si="4"/>
        <v>0.43299088075724346</v>
      </c>
      <c r="J24" s="205">
        <f>J11/J16</f>
        <v>0.3762714155374582</v>
      </c>
      <c r="K24" s="206">
        <f>L11/L16</f>
        <v>0.35369219004554975</v>
      </c>
      <c r="L24" s="204">
        <f>M11/M16</f>
        <v>0.423257597545777</v>
      </c>
      <c r="M24" s="199"/>
    </row>
    <row r="25" spans="1:13" ht="18" customHeight="1">
      <c r="A25" s="193" t="s">
        <v>105</v>
      </c>
      <c r="B25" s="205">
        <f aca="true" t="shared" si="5" ref="B25:I25">B12/B16</f>
        <v>0.06532196809857371</v>
      </c>
      <c r="C25" s="205">
        <f t="shared" si="5"/>
        <v>0.028805263580197384</v>
      </c>
      <c r="D25" s="205">
        <f t="shared" si="5"/>
        <v>0.05184480532717266</v>
      </c>
      <c r="E25" s="205">
        <f t="shared" si="5"/>
        <v>0.12388101454681089</v>
      </c>
      <c r="F25" s="205">
        <f t="shared" si="5"/>
        <v>0.07725028113235222</v>
      </c>
      <c r="G25" s="205">
        <f t="shared" si="5"/>
        <v>0.032170387203136835</v>
      </c>
      <c r="H25" s="205">
        <f t="shared" si="5"/>
        <v>0.06716309656206179</v>
      </c>
      <c r="I25" s="205">
        <f t="shared" si="5"/>
        <v>0.0854207549347801</v>
      </c>
      <c r="J25" s="205">
        <f>J12/J16</f>
        <v>0.05031595309701618</v>
      </c>
      <c r="K25" s="206">
        <f>L12/L16</f>
        <v>0.056621338564351496</v>
      </c>
      <c r="L25" s="204">
        <f>M12/M16</f>
        <v>0.04141501294219154</v>
      </c>
      <c r="M25" s="199"/>
    </row>
    <row r="26" spans="1:13" ht="18" customHeight="1">
      <c r="A26" s="193" t="s">
        <v>113</v>
      </c>
      <c r="B26" s="205">
        <f aca="true" t="shared" si="6" ref="B26:I26">B13/B16</f>
        <v>0.02861000928348384</v>
      </c>
      <c r="C26" s="205">
        <f t="shared" si="6"/>
        <v>0.028644788574179573</v>
      </c>
      <c r="D26" s="205">
        <f t="shared" si="6"/>
        <v>0.07188965142352381</v>
      </c>
      <c r="E26" s="205">
        <f t="shared" si="6"/>
        <v>0.07142857142857142</v>
      </c>
      <c r="F26" s="205">
        <f t="shared" si="6"/>
        <v>0.01867696670415098</v>
      </c>
      <c r="G26" s="205">
        <f t="shared" si="6"/>
        <v>0.005747894666488437</v>
      </c>
      <c r="H26" s="205">
        <f t="shared" si="6"/>
        <v>0.022919588027658238</v>
      </c>
      <c r="I26" s="205">
        <f t="shared" si="6"/>
        <v>0.014121359036515449</v>
      </c>
      <c r="J26" s="205">
        <f>J13/J16</f>
        <v>0.09644172608387118</v>
      </c>
      <c r="K26" s="206">
        <f>L13/L16</f>
        <v>0.026166173488047346</v>
      </c>
      <c r="L26" s="204">
        <f>M13/M16</f>
        <v>0.005704151088102771</v>
      </c>
      <c r="M26" s="199"/>
    </row>
    <row r="27" spans="1:13" ht="18" customHeight="1">
      <c r="A27" s="207" t="s">
        <v>67</v>
      </c>
      <c r="B27" s="208">
        <f aca="true" t="shared" si="7" ref="B27:I27">B14/B16</f>
        <v>0.11317410751962191</v>
      </c>
      <c r="C27" s="208">
        <f t="shared" si="7"/>
        <v>0.09604429110166092</v>
      </c>
      <c r="D27" s="208">
        <f t="shared" si="7"/>
        <v>0.07222939457769927</v>
      </c>
      <c r="E27" s="208">
        <f t="shared" si="7"/>
        <v>0.13059492726594554</v>
      </c>
      <c r="F27" s="208">
        <f t="shared" si="7"/>
        <v>0.10062093580403852</v>
      </c>
      <c r="G27" s="208">
        <f t="shared" si="7"/>
        <v>0.044022635120081983</v>
      </c>
      <c r="H27" s="208">
        <f t="shared" si="7"/>
        <v>0.07228857405347903</v>
      </c>
      <c r="I27" s="208">
        <f t="shared" si="7"/>
        <v>0.04051714186771326</v>
      </c>
      <c r="J27" s="208">
        <f>J14/J16</f>
        <v>0.03767782921636874</v>
      </c>
      <c r="K27" s="209">
        <f>L14/L16</f>
        <v>0.08202280812581042</v>
      </c>
      <c r="L27" s="204">
        <f>M14/M16</f>
        <v>0.15775093471383375</v>
      </c>
      <c r="M27" s="199"/>
    </row>
    <row r="28" spans="1:13" ht="18" customHeight="1">
      <c r="A28" s="127" t="s">
        <v>108</v>
      </c>
      <c r="B28" s="210">
        <f>SUM(B23:B27)</f>
        <v>0.991054097392185</v>
      </c>
      <c r="C28" s="210">
        <f aca="true" t="shared" si="8" ref="C28:J28">SUM(C23:C27)</f>
        <v>0.997432399903715</v>
      </c>
      <c r="D28" s="210">
        <f t="shared" si="8"/>
        <v>1</v>
      </c>
      <c r="E28" s="210">
        <f t="shared" si="8"/>
        <v>0.9917474822827304</v>
      </c>
      <c r="F28" s="210">
        <f t="shared" si="8"/>
        <v>0.9515963428347919</v>
      </c>
      <c r="G28" s="210">
        <f t="shared" si="8"/>
        <v>0.8224836251837988</v>
      </c>
      <c r="H28" s="210">
        <f t="shared" si="8"/>
        <v>0.9994681108263622</v>
      </c>
      <c r="I28" s="210">
        <f t="shared" si="8"/>
        <v>0.8876832506060256</v>
      </c>
      <c r="J28" s="210">
        <f t="shared" si="8"/>
        <v>0.8205656743148718</v>
      </c>
      <c r="K28" s="211">
        <f>SUM(K23:K27)</f>
        <v>0.7372410812248562</v>
      </c>
      <c r="L28" s="212">
        <f>SUM(L23:L27)</f>
        <v>0.9999999999999999</v>
      </c>
      <c r="M28" s="199"/>
    </row>
    <row r="29" spans="1:13" ht="12.75">
      <c r="A29" s="213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199"/>
    </row>
    <row r="30" spans="1:13" ht="12.75">
      <c r="A30" s="213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199"/>
    </row>
    <row r="54" spans="2:13" ht="12.75">
      <c r="B54" s="215" t="s">
        <v>114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</row>
    <row r="55" spans="2:12" ht="12.75">
      <c r="B55" s="215"/>
      <c r="C55" s="23">
        <v>1998</v>
      </c>
      <c r="D55" s="23">
        <v>1999</v>
      </c>
      <c r="E55" s="23">
        <v>2000</v>
      </c>
      <c r="F55" s="23">
        <v>2001</v>
      </c>
      <c r="G55" s="23">
        <v>2002</v>
      </c>
      <c r="H55" s="23">
        <v>2003</v>
      </c>
      <c r="I55" s="23">
        <v>2004</v>
      </c>
      <c r="J55" s="23">
        <v>2005</v>
      </c>
      <c r="K55" s="23">
        <v>2006</v>
      </c>
      <c r="L55" s="27">
        <v>2007</v>
      </c>
    </row>
    <row r="56" spans="2:13" ht="12.75">
      <c r="B56" s="213" t="s">
        <v>112</v>
      </c>
      <c r="C56" s="38">
        <v>4504</v>
      </c>
      <c r="D56" s="38">
        <v>5202</v>
      </c>
      <c r="E56" s="38">
        <v>5672</v>
      </c>
      <c r="F56" s="38">
        <v>7892</v>
      </c>
      <c r="G56" s="38">
        <v>7674</v>
      </c>
      <c r="H56" s="38">
        <v>6909</v>
      </c>
      <c r="I56" s="38">
        <v>6870</v>
      </c>
      <c r="J56" s="38">
        <v>8177</v>
      </c>
      <c r="K56" s="38">
        <f>J7</f>
        <v>7690</v>
      </c>
      <c r="L56" s="38">
        <f>L7</f>
        <v>6579</v>
      </c>
      <c r="M56" s="216"/>
    </row>
    <row r="57" spans="2:13" ht="12.75">
      <c r="B57" s="215" t="s">
        <v>115</v>
      </c>
      <c r="C57" s="200">
        <f aca="true" t="shared" si="9" ref="C57:K57">B11</f>
        <v>4785</v>
      </c>
      <c r="D57" s="200">
        <f t="shared" si="9"/>
        <v>5316</v>
      </c>
      <c r="E57" s="200">
        <f t="shared" si="9"/>
        <v>6161</v>
      </c>
      <c r="F57" s="200">
        <f t="shared" si="9"/>
        <v>6389</v>
      </c>
      <c r="G57" s="200">
        <f t="shared" si="9"/>
        <v>7769</v>
      </c>
      <c r="H57" s="200">
        <f t="shared" si="9"/>
        <v>9711</v>
      </c>
      <c r="I57" s="200">
        <f t="shared" si="9"/>
        <v>10442</v>
      </c>
      <c r="J57" s="200">
        <f t="shared" si="9"/>
        <v>11253</v>
      </c>
      <c r="K57" s="200">
        <f t="shared" si="9"/>
        <v>11135</v>
      </c>
      <c r="L57" s="200">
        <f>L11</f>
        <v>10638</v>
      </c>
      <c r="M57" s="200"/>
    </row>
    <row r="58" spans="2:13" ht="12.75">
      <c r="B58" s="215" t="s">
        <v>116</v>
      </c>
      <c r="C58" s="200">
        <f aca="true" t="shared" si="10" ref="C58:K58">B12</f>
        <v>774</v>
      </c>
      <c r="D58" s="200">
        <f t="shared" si="10"/>
        <v>359</v>
      </c>
      <c r="E58" s="200">
        <f t="shared" si="10"/>
        <v>763</v>
      </c>
      <c r="F58" s="200">
        <f t="shared" si="10"/>
        <v>2657</v>
      </c>
      <c r="G58" s="200">
        <f t="shared" si="10"/>
        <v>1580</v>
      </c>
      <c r="H58" s="200">
        <f t="shared" si="10"/>
        <v>722</v>
      </c>
      <c r="I58" s="200">
        <f t="shared" si="10"/>
        <v>1389</v>
      </c>
      <c r="J58" s="200">
        <f t="shared" si="10"/>
        <v>2220</v>
      </c>
      <c r="K58" s="200">
        <f t="shared" si="10"/>
        <v>1489</v>
      </c>
      <c r="L58" s="200">
        <f>L12</f>
        <v>1703</v>
      </c>
      <c r="M58" s="200"/>
    </row>
    <row r="59" spans="2:13" ht="12.75">
      <c r="B59" s="215" t="s">
        <v>117</v>
      </c>
      <c r="C59" s="200">
        <f aca="true" t="shared" si="11" ref="C59:K59">B13</f>
        <v>339</v>
      </c>
      <c r="D59" s="200">
        <f t="shared" si="11"/>
        <v>357</v>
      </c>
      <c r="E59" s="200">
        <f t="shared" si="11"/>
        <v>1058</v>
      </c>
      <c r="F59" s="200">
        <f t="shared" si="11"/>
        <v>1532</v>
      </c>
      <c r="G59" s="200">
        <f t="shared" si="11"/>
        <v>382</v>
      </c>
      <c r="H59" s="200">
        <f t="shared" si="11"/>
        <v>129</v>
      </c>
      <c r="I59" s="200">
        <f t="shared" si="11"/>
        <v>474</v>
      </c>
      <c r="J59" s="200">
        <f t="shared" si="11"/>
        <v>367</v>
      </c>
      <c r="K59" s="200">
        <f t="shared" si="11"/>
        <v>2854</v>
      </c>
      <c r="L59" s="200">
        <f>L13</f>
        <v>787</v>
      </c>
      <c r="M59" s="200"/>
    </row>
    <row r="60" spans="2:13" ht="12.75">
      <c r="B60" s="213" t="s">
        <v>118</v>
      </c>
      <c r="C60" s="200">
        <f aca="true" t="shared" si="12" ref="C60:K60">B14</f>
        <v>1341</v>
      </c>
      <c r="D60" s="200">
        <f t="shared" si="12"/>
        <v>1197</v>
      </c>
      <c r="E60" s="200">
        <f t="shared" si="12"/>
        <v>1063</v>
      </c>
      <c r="F60" s="200">
        <f t="shared" si="12"/>
        <v>2801</v>
      </c>
      <c r="G60" s="200">
        <f t="shared" si="12"/>
        <v>2058</v>
      </c>
      <c r="H60" s="200">
        <f t="shared" si="12"/>
        <v>988</v>
      </c>
      <c r="I60" s="200">
        <f t="shared" si="12"/>
        <v>1495</v>
      </c>
      <c r="J60" s="200">
        <f t="shared" si="12"/>
        <v>1053</v>
      </c>
      <c r="K60" s="200">
        <f t="shared" si="12"/>
        <v>1115</v>
      </c>
      <c r="L60" s="200">
        <f>L14</f>
        <v>2467</v>
      </c>
      <c r="M60" s="200"/>
    </row>
    <row r="61" spans="2:13" ht="12.75">
      <c r="B61" s="199" t="s">
        <v>107</v>
      </c>
      <c r="C61" s="200">
        <v>106</v>
      </c>
      <c r="D61" s="200">
        <v>32</v>
      </c>
      <c r="E61" s="113">
        <v>0</v>
      </c>
      <c r="F61" s="113">
        <v>177</v>
      </c>
      <c r="G61" s="113">
        <v>990</v>
      </c>
      <c r="H61" s="113">
        <v>3984</v>
      </c>
      <c r="I61" s="113">
        <v>11</v>
      </c>
      <c r="J61" s="113">
        <v>2919</v>
      </c>
      <c r="K61" s="200">
        <f>J15</f>
        <v>5310</v>
      </c>
      <c r="L61" s="200">
        <f>L15</f>
        <v>7903</v>
      </c>
      <c r="M61" s="200"/>
    </row>
    <row r="62" spans="2:13" ht="12.75">
      <c r="B62" s="213" t="s">
        <v>108</v>
      </c>
      <c r="C62" s="200">
        <f aca="true" t="shared" si="13" ref="C62:L62">SUM(C55:C61)</f>
        <v>13847</v>
      </c>
      <c r="D62" s="200">
        <f t="shared" si="13"/>
        <v>14462</v>
      </c>
      <c r="E62" s="200">
        <f t="shared" si="13"/>
        <v>16717</v>
      </c>
      <c r="F62" s="200">
        <f t="shared" si="13"/>
        <v>23449</v>
      </c>
      <c r="G62" s="200">
        <f t="shared" si="13"/>
        <v>22455</v>
      </c>
      <c r="H62" s="200">
        <f t="shared" si="13"/>
        <v>24446</v>
      </c>
      <c r="I62" s="200">
        <f t="shared" si="13"/>
        <v>22685</v>
      </c>
      <c r="J62" s="200">
        <f t="shared" si="13"/>
        <v>27994</v>
      </c>
      <c r="K62" s="200">
        <f t="shared" si="13"/>
        <v>31599</v>
      </c>
      <c r="L62" s="200">
        <f t="shared" si="13"/>
        <v>32084</v>
      </c>
      <c r="M62" s="200"/>
    </row>
  </sheetData>
  <mergeCells count="10">
    <mergeCell ref="B5:J5"/>
    <mergeCell ref="B21:J21"/>
    <mergeCell ref="A2:M2"/>
    <mergeCell ref="K21:K22"/>
    <mergeCell ref="L21:L22"/>
    <mergeCell ref="A21:A22"/>
    <mergeCell ref="A19:L19"/>
    <mergeCell ref="A5:A6"/>
    <mergeCell ref="L5:L6"/>
    <mergeCell ref="M5:M6"/>
  </mergeCells>
  <printOptions horizontalCentered="1"/>
  <pageMargins left="0.7874015748031497" right="0.7874015748031497" top="0.5" bottom="0.47" header="0.23" footer="0.44"/>
  <pageSetup horizontalDpi="600" verticalDpi="600" orientation="landscape" paperSize="9" scale="76" r:id="rId2"/>
  <rowBreaks count="1" manualBreakCount="1">
    <brk id="50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B10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7" customWidth="1"/>
    <col min="2" max="2" width="28.8515625" style="27" customWidth="1"/>
    <col min="3" max="11" width="13.140625" style="27" customWidth="1"/>
    <col min="12" max="12" width="12.8515625" style="27" customWidth="1"/>
    <col min="13" max="13" width="12.57421875" style="27" hidden="1" customWidth="1"/>
    <col min="14" max="16384" width="9.140625" style="27" customWidth="1"/>
  </cols>
  <sheetData>
    <row r="1" ht="12.75">
      <c r="K1" s="29"/>
    </row>
    <row r="2" spans="2:13" ht="15.75">
      <c r="B2" s="813" t="s">
        <v>136</v>
      </c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</row>
    <row r="3" spans="2:11" ht="12.75"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2:11" ht="12.75">
      <c r="B4" s="264"/>
      <c r="C4" s="264"/>
      <c r="D4" s="264"/>
      <c r="E4" s="264"/>
      <c r="F4" s="264"/>
      <c r="G4" s="264"/>
      <c r="H4" s="264"/>
      <c r="I4" s="264"/>
      <c r="J4" s="264"/>
      <c r="K4" s="264"/>
    </row>
    <row r="5" ht="12.75">
      <c r="M5" s="29" t="s">
        <v>11</v>
      </c>
    </row>
    <row r="6" spans="1:13" ht="15.75" customHeight="1">
      <c r="A6" s="821" t="s">
        <v>137</v>
      </c>
      <c r="B6" s="810" t="s">
        <v>46</v>
      </c>
      <c r="C6" s="829" t="s">
        <v>138</v>
      </c>
      <c r="D6" s="830"/>
      <c r="E6" s="830"/>
      <c r="F6" s="830"/>
      <c r="G6" s="830"/>
      <c r="H6" s="830"/>
      <c r="I6" s="830"/>
      <c r="J6" s="830"/>
      <c r="K6" s="830"/>
      <c r="L6" s="831"/>
      <c r="M6" s="832" t="s">
        <v>139</v>
      </c>
    </row>
    <row r="7" spans="1:13" ht="15.75" customHeight="1">
      <c r="A7" s="812"/>
      <c r="B7" s="811"/>
      <c r="C7" s="265" t="s">
        <v>5</v>
      </c>
      <c r="D7" s="265" t="s">
        <v>6</v>
      </c>
      <c r="E7" s="265" t="s">
        <v>7</v>
      </c>
      <c r="F7" s="265" t="s">
        <v>8</v>
      </c>
      <c r="G7" s="265" t="s">
        <v>9</v>
      </c>
      <c r="H7" s="265" t="s">
        <v>47</v>
      </c>
      <c r="I7" s="265" t="s">
        <v>48</v>
      </c>
      <c r="J7" s="265" t="s">
        <v>49</v>
      </c>
      <c r="K7" s="265" t="s">
        <v>1</v>
      </c>
      <c r="L7" s="266" t="s">
        <v>10</v>
      </c>
      <c r="M7" s="833"/>
    </row>
    <row r="8" spans="1:13" ht="14.25" customHeight="1">
      <c r="A8" s="267">
        <v>1</v>
      </c>
      <c r="B8" s="268" t="s">
        <v>140</v>
      </c>
      <c r="C8" s="269">
        <v>111280</v>
      </c>
      <c r="D8" s="269">
        <v>324858</v>
      </c>
      <c r="E8" s="269">
        <v>477944</v>
      </c>
      <c r="F8" s="270">
        <v>916692</v>
      </c>
      <c r="G8" s="269">
        <v>492071</v>
      </c>
      <c r="H8" s="269">
        <v>379949</v>
      </c>
      <c r="I8" s="269">
        <v>189090</v>
      </c>
      <c r="J8" s="269">
        <v>333404</v>
      </c>
      <c r="K8" s="269">
        <v>526673</v>
      </c>
      <c r="L8" s="271">
        <v>113110</v>
      </c>
      <c r="M8" s="272">
        <v>663000</v>
      </c>
    </row>
    <row r="9" spans="1:13" ht="14.25" customHeight="1">
      <c r="A9" s="273">
        <v>2</v>
      </c>
      <c r="B9" s="274" t="s">
        <v>141</v>
      </c>
      <c r="C9" s="275">
        <v>217944</v>
      </c>
      <c r="D9" s="275">
        <v>38713</v>
      </c>
      <c r="E9" s="275">
        <v>54678</v>
      </c>
      <c r="F9" s="276">
        <v>114636</v>
      </c>
      <c r="G9" s="275">
        <v>148942</v>
      </c>
      <c r="H9" s="275">
        <v>262322</v>
      </c>
      <c r="I9" s="275">
        <v>516734</v>
      </c>
      <c r="J9" s="275">
        <v>801849</v>
      </c>
      <c r="K9" s="275">
        <v>369095</v>
      </c>
      <c r="L9" s="277">
        <v>12663</v>
      </c>
      <c r="M9" s="278">
        <v>10000</v>
      </c>
    </row>
    <row r="10" spans="1:13" ht="14.25" customHeight="1">
      <c r="A10" s="279">
        <v>3</v>
      </c>
      <c r="B10" s="280" t="s">
        <v>142</v>
      </c>
      <c r="C10" s="281">
        <v>82027</v>
      </c>
      <c r="D10" s="281">
        <v>195698</v>
      </c>
      <c r="E10" s="281">
        <v>256012</v>
      </c>
      <c r="F10" s="281">
        <v>155079</v>
      </c>
      <c r="G10" s="281">
        <v>126901</v>
      </c>
      <c r="H10" s="281"/>
      <c r="I10" s="281">
        <v>51135</v>
      </c>
      <c r="J10" s="281"/>
      <c r="K10" s="281">
        <v>103392</v>
      </c>
      <c r="L10" s="282">
        <v>54978</v>
      </c>
      <c r="M10" s="283">
        <v>47656</v>
      </c>
    </row>
    <row r="11" spans="1:13" s="191" customFormat="1" ht="25.5">
      <c r="A11" s="284">
        <v>4</v>
      </c>
      <c r="B11" s="285" t="s">
        <v>143</v>
      </c>
      <c r="C11" s="286">
        <f>SUM(C8:C10)</f>
        <v>411251</v>
      </c>
      <c r="D11" s="286">
        <f aca="true" t="shared" si="0" ref="D11:M11">SUM(D8:D10)</f>
        <v>559269</v>
      </c>
      <c r="E11" s="286">
        <f t="shared" si="0"/>
        <v>788634</v>
      </c>
      <c r="F11" s="286">
        <f t="shared" si="0"/>
        <v>1186407</v>
      </c>
      <c r="G11" s="286">
        <f t="shared" si="0"/>
        <v>767914</v>
      </c>
      <c r="H11" s="286">
        <f t="shared" si="0"/>
        <v>642271</v>
      </c>
      <c r="I11" s="286">
        <f t="shared" si="0"/>
        <v>756959</v>
      </c>
      <c r="J11" s="286">
        <f t="shared" si="0"/>
        <v>1135253</v>
      </c>
      <c r="K11" s="286">
        <f t="shared" si="0"/>
        <v>999160</v>
      </c>
      <c r="L11" s="287">
        <f t="shared" si="0"/>
        <v>180751</v>
      </c>
      <c r="M11" s="288">
        <f t="shared" si="0"/>
        <v>720656</v>
      </c>
    </row>
    <row r="12" spans="1:13" ht="14.25" customHeight="1">
      <c r="A12" s="267">
        <v>5</v>
      </c>
      <c r="B12" s="268" t="s">
        <v>144</v>
      </c>
      <c r="C12" s="269">
        <v>118641</v>
      </c>
      <c r="D12" s="269">
        <v>4103</v>
      </c>
      <c r="E12" s="269"/>
      <c r="F12" s="270">
        <f>311828+78932</f>
        <v>390760</v>
      </c>
      <c r="G12" s="269">
        <v>320335</v>
      </c>
      <c r="H12" s="269">
        <v>59005</v>
      </c>
      <c r="I12" s="269"/>
      <c r="J12" s="269">
        <v>13407</v>
      </c>
      <c r="K12" s="289">
        <v>0</v>
      </c>
      <c r="L12" s="290">
        <v>0</v>
      </c>
      <c r="M12" s="291">
        <v>0</v>
      </c>
    </row>
    <row r="13" spans="1:13" ht="14.25" customHeight="1">
      <c r="A13" s="292">
        <v>6</v>
      </c>
      <c r="B13" s="293" t="s">
        <v>145</v>
      </c>
      <c r="C13" s="294">
        <f>C12+C11</f>
        <v>529892</v>
      </c>
      <c r="D13" s="294">
        <f aca="true" t="shared" si="1" ref="D13:M13">D12+D11</f>
        <v>563372</v>
      </c>
      <c r="E13" s="294">
        <f t="shared" si="1"/>
        <v>788634</v>
      </c>
      <c r="F13" s="294">
        <f t="shared" si="1"/>
        <v>1577167</v>
      </c>
      <c r="G13" s="294">
        <f t="shared" si="1"/>
        <v>1088249</v>
      </c>
      <c r="H13" s="294">
        <f t="shared" si="1"/>
        <v>701276</v>
      </c>
      <c r="I13" s="294">
        <f t="shared" si="1"/>
        <v>756959</v>
      </c>
      <c r="J13" s="294">
        <f t="shared" si="1"/>
        <v>1148660</v>
      </c>
      <c r="K13" s="294">
        <f t="shared" si="1"/>
        <v>999160</v>
      </c>
      <c r="L13" s="295">
        <f t="shared" si="1"/>
        <v>180751</v>
      </c>
      <c r="M13" s="296">
        <f t="shared" si="1"/>
        <v>720656</v>
      </c>
    </row>
    <row r="14" spans="1:13" ht="14.25" customHeight="1">
      <c r="A14" s="273">
        <v>7</v>
      </c>
      <c r="B14" s="274" t="s">
        <v>146</v>
      </c>
      <c r="C14" s="275">
        <v>226981</v>
      </c>
      <c r="D14" s="275">
        <v>224316</v>
      </c>
      <c r="E14" s="275">
        <v>248179</v>
      </c>
      <c r="F14" s="276">
        <v>241931</v>
      </c>
      <c r="G14" s="275">
        <v>267692</v>
      </c>
      <c r="H14" s="275">
        <v>285714</v>
      </c>
      <c r="I14" s="275">
        <v>276002</v>
      </c>
      <c r="J14" s="275">
        <v>226683</v>
      </c>
      <c r="K14" s="297">
        <v>148327</v>
      </c>
      <c r="L14" s="298">
        <f>103908+37203</f>
        <v>141111</v>
      </c>
      <c r="M14" s="299">
        <v>118207</v>
      </c>
    </row>
    <row r="15" spans="1:13" ht="14.25" customHeight="1">
      <c r="A15" s="273">
        <v>8</v>
      </c>
      <c r="B15" s="274" t="s">
        <v>147</v>
      </c>
      <c r="C15" s="275">
        <v>3878</v>
      </c>
      <c r="D15" s="275">
        <v>14739</v>
      </c>
      <c r="E15" s="275">
        <v>15409</v>
      </c>
      <c r="F15" s="276">
        <v>11404</v>
      </c>
      <c r="G15" s="275">
        <v>20317</v>
      </c>
      <c r="H15" s="275">
        <v>32355</v>
      </c>
      <c r="I15" s="275">
        <v>74537</v>
      </c>
      <c r="J15" s="275">
        <v>34986</v>
      </c>
      <c r="K15" s="297">
        <v>0</v>
      </c>
      <c r="L15" s="298">
        <v>167287</v>
      </c>
      <c r="M15" s="299">
        <v>80000</v>
      </c>
    </row>
    <row r="16" spans="1:13" ht="14.25" customHeight="1">
      <c r="A16" s="279">
        <v>9</v>
      </c>
      <c r="B16" s="280" t="s">
        <v>148</v>
      </c>
      <c r="C16" s="281">
        <v>428455</v>
      </c>
      <c r="D16" s="281">
        <v>514243</v>
      </c>
      <c r="E16" s="281">
        <v>167165</v>
      </c>
      <c r="F16" s="300">
        <v>365858</v>
      </c>
      <c r="G16" s="281">
        <v>115352</v>
      </c>
      <c r="H16" s="281">
        <v>121628</v>
      </c>
      <c r="I16" s="281">
        <v>61764</v>
      </c>
      <c r="J16" s="281">
        <v>252339</v>
      </c>
      <c r="K16" s="301">
        <v>140162</v>
      </c>
      <c r="L16" s="302">
        <f>139869+119885</f>
        <v>259754</v>
      </c>
      <c r="M16" s="303">
        <v>227800</v>
      </c>
    </row>
    <row r="17" spans="1:13" ht="25.5">
      <c r="A17" s="304">
        <v>10</v>
      </c>
      <c r="B17" s="285" t="s">
        <v>149</v>
      </c>
      <c r="C17" s="305">
        <f>C16+C15+C14+C12+C11</f>
        <v>1189206</v>
      </c>
      <c r="D17" s="305">
        <f aca="true" t="shared" si="2" ref="D17:M17">D16+D15+D14+D12+D11</f>
        <v>1316670</v>
      </c>
      <c r="E17" s="305">
        <f t="shared" si="2"/>
        <v>1219387</v>
      </c>
      <c r="F17" s="305">
        <f t="shared" si="2"/>
        <v>2196360</v>
      </c>
      <c r="G17" s="305">
        <f t="shared" si="2"/>
        <v>1491610</v>
      </c>
      <c r="H17" s="305">
        <f t="shared" si="2"/>
        <v>1140973</v>
      </c>
      <c r="I17" s="305">
        <f t="shared" si="2"/>
        <v>1169262</v>
      </c>
      <c r="J17" s="305">
        <f t="shared" si="2"/>
        <v>1662668</v>
      </c>
      <c r="K17" s="305">
        <f t="shared" si="2"/>
        <v>1287649</v>
      </c>
      <c r="L17" s="306">
        <f t="shared" si="2"/>
        <v>748903</v>
      </c>
      <c r="M17" s="307">
        <f t="shared" si="2"/>
        <v>1146663</v>
      </c>
    </row>
    <row r="18" spans="1:12" ht="12.75">
      <c r="A18" s="23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23"/>
    </row>
    <row r="19" spans="1:12" ht="12.75">
      <c r="A19" s="23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23"/>
    </row>
    <row r="20" spans="1:12" ht="12.75">
      <c r="A20" s="23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23"/>
    </row>
    <row r="21" spans="1:13" ht="15.75">
      <c r="A21" s="813" t="s">
        <v>150</v>
      </c>
      <c r="B21" s="813"/>
      <c r="C21" s="813"/>
      <c r="D21" s="813"/>
      <c r="E21" s="813"/>
      <c r="F21" s="813"/>
      <c r="G21" s="813"/>
      <c r="H21" s="813"/>
      <c r="I21" s="813"/>
      <c r="J21" s="813"/>
      <c r="K21" s="813"/>
      <c r="L21" s="813"/>
      <c r="M21" s="813"/>
    </row>
    <row r="22" spans="2:11" ht="12.75">
      <c r="B22" s="308"/>
      <c r="C22" s="308"/>
      <c r="D22" s="308"/>
      <c r="E22" s="308"/>
      <c r="F22" s="308"/>
      <c r="G22" s="308"/>
      <c r="H22" s="308"/>
      <c r="I22" s="308"/>
      <c r="J22" s="308"/>
      <c r="K22" s="308"/>
    </row>
    <row r="23" spans="2:11" ht="12.75">
      <c r="B23" s="308"/>
      <c r="C23" s="308"/>
      <c r="D23" s="308"/>
      <c r="E23" s="308"/>
      <c r="F23" s="308"/>
      <c r="G23" s="308"/>
      <c r="H23" s="308"/>
      <c r="I23" s="308"/>
      <c r="J23" s="308"/>
      <c r="K23" s="308"/>
    </row>
    <row r="24" spans="1:13" ht="15" customHeight="1">
      <c r="A24" s="821" t="s">
        <v>137</v>
      </c>
      <c r="B24" s="810" t="s">
        <v>46</v>
      </c>
      <c r="C24" s="829" t="s">
        <v>138</v>
      </c>
      <c r="D24" s="830"/>
      <c r="E24" s="830"/>
      <c r="F24" s="830"/>
      <c r="G24" s="830"/>
      <c r="H24" s="830"/>
      <c r="I24" s="830"/>
      <c r="J24" s="830"/>
      <c r="K24" s="830"/>
      <c r="L24" s="831"/>
      <c r="M24" s="818" t="s">
        <v>139</v>
      </c>
    </row>
    <row r="25" spans="1:13" ht="15" customHeight="1">
      <c r="A25" s="812"/>
      <c r="B25" s="811"/>
      <c r="C25" s="265" t="s">
        <v>5</v>
      </c>
      <c r="D25" s="265" t="s">
        <v>6</v>
      </c>
      <c r="E25" s="265" t="s">
        <v>7</v>
      </c>
      <c r="F25" s="265" t="s">
        <v>8</v>
      </c>
      <c r="G25" s="265" t="s">
        <v>9</v>
      </c>
      <c r="H25" s="265" t="s">
        <v>47</v>
      </c>
      <c r="I25" s="265" t="s">
        <v>48</v>
      </c>
      <c r="J25" s="265" t="s">
        <v>49</v>
      </c>
      <c r="K25" s="265" t="s">
        <v>1</v>
      </c>
      <c r="L25" s="266" t="s">
        <v>10</v>
      </c>
      <c r="M25" s="809"/>
    </row>
    <row r="26" spans="1:13" ht="15" customHeight="1">
      <c r="A26" s="267">
        <v>1</v>
      </c>
      <c r="B26" s="268" t="s">
        <v>140</v>
      </c>
      <c r="C26" s="309">
        <f aca="true" t="shared" si="3" ref="C26:K26">C8/C$17</f>
        <v>0.09357504082555924</v>
      </c>
      <c r="D26" s="309">
        <f t="shared" si="3"/>
        <v>0.24672697031146756</v>
      </c>
      <c r="E26" s="309">
        <f t="shared" si="3"/>
        <v>0.39195431803028896</v>
      </c>
      <c r="F26" s="309">
        <f t="shared" si="3"/>
        <v>0.4173687373654592</v>
      </c>
      <c r="G26" s="309">
        <f t="shared" si="3"/>
        <v>0.32989253223027465</v>
      </c>
      <c r="H26" s="309">
        <f t="shared" si="3"/>
        <v>0.33300437433664076</v>
      </c>
      <c r="I26" s="309">
        <f t="shared" si="3"/>
        <v>0.16171739096968857</v>
      </c>
      <c r="J26" s="309">
        <f t="shared" si="3"/>
        <v>0.2005234959715349</v>
      </c>
      <c r="K26" s="309">
        <f t="shared" si="3"/>
        <v>0.4090190727442028</v>
      </c>
      <c r="L26" s="310">
        <f aca="true" t="shared" si="4" ref="L26:L34">L8/$L$17</f>
        <v>0.1510342460906152</v>
      </c>
      <c r="M26" s="311">
        <f aca="true" t="shared" si="5" ref="M26:M34">M8/$M$17</f>
        <v>0.5781995233124292</v>
      </c>
    </row>
    <row r="27" spans="1:13" ht="15" customHeight="1">
      <c r="A27" s="273">
        <v>2</v>
      </c>
      <c r="B27" s="274" t="s">
        <v>141</v>
      </c>
      <c r="C27" s="205">
        <f aca="true" t="shared" si="6" ref="C27:K27">C9/C$17</f>
        <v>0.18326850015892956</v>
      </c>
      <c r="D27" s="205">
        <f t="shared" si="6"/>
        <v>0.02940220404505305</v>
      </c>
      <c r="E27" s="205">
        <f t="shared" si="6"/>
        <v>0.04484056333223169</v>
      </c>
      <c r="F27" s="205">
        <f t="shared" si="6"/>
        <v>0.052193629459651426</v>
      </c>
      <c r="G27" s="205">
        <f t="shared" si="6"/>
        <v>0.099853178779976</v>
      </c>
      <c r="H27" s="205">
        <f t="shared" si="6"/>
        <v>0.22991078667067494</v>
      </c>
      <c r="I27" s="205">
        <f t="shared" si="6"/>
        <v>0.44193174840198346</v>
      </c>
      <c r="J27" s="205">
        <f t="shared" si="6"/>
        <v>0.4822664536756586</v>
      </c>
      <c r="K27" s="205">
        <f t="shared" si="6"/>
        <v>0.28664255554114515</v>
      </c>
      <c r="L27" s="312">
        <f t="shared" si="4"/>
        <v>0.016908731838435685</v>
      </c>
      <c r="M27" s="311">
        <f t="shared" si="5"/>
        <v>0.008720958119342823</v>
      </c>
    </row>
    <row r="28" spans="1:13" ht="15" customHeight="1">
      <c r="A28" s="279">
        <v>3</v>
      </c>
      <c r="B28" s="280" t="s">
        <v>142</v>
      </c>
      <c r="C28" s="313">
        <f aca="true" t="shared" si="7" ref="C28:K28">C10/C$17</f>
        <v>0.06897627492629536</v>
      </c>
      <c r="D28" s="313">
        <f t="shared" si="7"/>
        <v>0.1486310161240098</v>
      </c>
      <c r="E28" s="313">
        <f t="shared" si="7"/>
        <v>0.209951393610068</v>
      </c>
      <c r="F28" s="313">
        <f t="shared" si="7"/>
        <v>0.07060727749549255</v>
      </c>
      <c r="G28" s="313">
        <f t="shared" si="7"/>
        <v>0.08507652804687553</v>
      </c>
      <c r="H28" s="313">
        <f t="shared" si="7"/>
        <v>0</v>
      </c>
      <c r="I28" s="313">
        <f t="shared" si="7"/>
        <v>0.04373271345515376</v>
      </c>
      <c r="J28" s="313">
        <f t="shared" si="7"/>
        <v>0</v>
      </c>
      <c r="K28" s="313">
        <f t="shared" si="7"/>
        <v>0.08029517360709323</v>
      </c>
      <c r="L28" s="314">
        <f t="shared" si="4"/>
        <v>0.07341137637317516</v>
      </c>
      <c r="M28" s="311">
        <f t="shared" si="5"/>
        <v>0.04156059801354016</v>
      </c>
    </row>
    <row r="29" spans="1:13" ht="25.5">
      <c r="A29" s="284">
        <v>4</v>
      </c>
      <c r="B29" s="285" t="s">
        <v>143</v>
      </c>
      <c r="C29" s="315">
        <f aca="true" t="shared" si="8" ref="C29:K29">C11/C$17</f>
        <v>0.34581981591078415</v>
      </c>
      <c r="D29" s="315">
        <f t="shared" si="8"/>
        <v>0.42476019048053043</v>
      </c>
      <c r="E29" s="315">
        <f t="shared" si="8"/>
        <v>0.6467462749725886</v>
      </c>
      <c r="F29" s="315">
        <f t="shared" si="8"/>
        <v>0.5401696443206032</v>
      </c>
      <c r="G29" s="315">
        <f t="shared" si="8"/>
        <v>0.5148222390571262</v>
      </c>
      <c r="H29" s="315">
        <f t="shared" si="8"/>
        <v>0.5629151610073156</v>
      </c>
      <c r="I29" s="315">
        <f t="shared" si="8"/>
        <v>0.6473818528268258</v>
      </c>
      <c r="J29" s="315">
        <f t="shared" si="8"/>
        <v>0.6827899496471935</v>
      </c>
      <c r="K29" s="315">
        <f t="shared" si="8"/>
        <v>0.7759568018924412</v>
      </c>
      <c r="L29" s="316">
        <f t="shared" si="4"/>
        <v>0.24135435430222604</v>
      </c>
      <c r="M29" s="317">
        <f t="shared" si="5"/>
        <v>0.6284810794453122</v>
      </c>
    </row>
    <row r="30" spans="1:13" ht="14.25" customHeight="1">
      <c r="A30" s="267">
        <v>5</v>
      </c>
      <c r="B30" s="268" t="s">
        <v>144</v>
      </c>
      <c r="C30" s="309">
        <f aca="true" t="shared" si="9" ref="C30:K30">C12/C$17</f>
        <v>0.09976488514185095</v>
      </c>
      <c r="D30" s="309">
        <f t="shared" si="9"/>
        <v>0.003116194642545209</v>
      </c>
      <c r="E30" s="309">
        <f t="shared" si="9"/>
        <v>0</v>
      </c>
      <c r="F30" s="309">
        <f t="shared" si="9"/>
        <v>0.17791254621282485</v>
      </c>
      <c r="G30" s="309">
        <f t="shared" si="9"/>
        <v>0.21475787907026636</v>
      </c>
      <c r="H30" s="309">
        <f t="shared" si="9"/>
        <v>0.051714633036890445</v>
      </c>
      <c r="I30" s="309">
        <f t="shared" si="9"/>
        <v>0</v>
      </c>
      <c r="J30" s="309">
        <f t="shared" si="9"/>
        <v>0.008063546059706448</v>
      </c>
      <c r="K30" s="309">
        <f t="shared" si="9"/>
        <v>0</v>
      </c>
      <c r="L30" s="310">
        <f t="shared" si="4"/>
        <v>0</v>
      </c>
      <c r="M30" s="311">
        <f t="shared" si="5"/>
        <v>0</v>
      </c>
    </row>
    <row r="31" spans="1:13" ht="14.25" customHeight="1">
      <c r="A31" s="273">
        <v>6</v>
      </c>
      <c r="B31" s="293" t="s">
        <v>145</v>
      </c>
      <c r="C31" s="205">
        <f>C13/C17</f>
        <v>0.44558470105263515</v>
      </c>
      <c r="D31" s="205">
        <f aca="true" t="shared" si="10" ref="D31:J31">D13/D17</f>
        <v>0.42787638512307563</v>
      </c>
      <c r="E31" s="205">
        <f t="shared" si="10"/>
        <v>0.6467462749725886</v>
      </c>
      <c r="F31" s="205">
        <f t="shared" si="10"/>
        <v>0.718082190533428</v>
      </c>
      <c r="G31" s="205">
        <f t="shared" si="10"/>
        <v>0.7295801181273925</v>
      </c>
      <c r="H31" s="205">
        <f t="shared" si="10"/>
        <v>0.6146297940442061</v>
      </c>
      <c r="I31" s="205">
        <f t="shared" si="10"/>
        <v>0.6473818528268258</v>
      </c>
      <c r="J31" s="205">
        <f t="shared" si="10"/>
        <v>0.6908534957069</v>
      </c>
      <c r="K31" s="205">
        <f>K13/K17</f>
        <v>0.7759568018924412</v>
      </c>
      <c r="L31" s="312">
        <f t="shared" si="4"/>
        <v>0.24135435430222604</v>
      </c>
      <c r="M31" s="311">
        <f t="shared" si="5"/>
        <v>0.6284810794453122</v>
      </c>
    </row>
    <row r="32" spans="1:13" ht="14.25" customHeight="1">
      <c r="A32" s="273">
        <v>7</v>
      </c>
      <c r="B32" s="274" t="s">
        <v>146</v>
      </c>
      <c r="C32" s="205">
        <f>C14/C17</f>
        <v>0.1908676881885897</v>
      </c>
      <c r="D32" s="205">
        <f aca="true" t="shared" si="11" ref="D32:K32">D14/D17</f>
        <v>0.1703661509717697</v>
      </c>
      <c r="E32" s="205">
        <f t="shared" si="11"/>
        <v>0.20352767415102835</v>
      </c>
      <c r="F32" s="205">
        <f t="shared" si="11"/>
        <v>0.11015088601140068</v>
      </c>
      <c r="G32" s="205">
        <f t="shared" si="11"/>
        <v>0.17946514169253358</v>
      </c>
      <c r="H32" s="205">
        <f t="shared" si="11"/>
        <v>0.2504125864503367</v>
      </c>
      <c r="I32" s="205">
        <f t="shared" si="11"/>
        <v>0.23604803713795539</v>
      </c>
      <c r="J32" s="205">
        <f t="shared" si="11"/>
        <v>0.13633689948925462</v>
      </c>
      <c r="K32" s="205">
        <f t="shared" si="11"/>
        <v>0.11519210592327568</v>
      </c>
      <c r="L32" s="312">
        <f t="shared" si="4"/>
        <v>0.1884236009202794</v>
      </c>
      <c r="M32" s="311">
        <f t="shared" si="5"/>
        <v>0.10308782964131571</v>
      </c>
    </row>
    <row r="33" spans="1:13" ht="14.25" customHeight="1">
      <c r="A33" s="273">
        <v>8</v>
      </c>
      <c r="B33" s="274" t="s">
        <v>147</v>
      </c>
      <c r="C33" s="205">
        <f>C15/C17</f>
        <v>0.003260999355872742</v>
      </c>
      <c r="D33" s="205">
        <f aca="true" t="shared" si="12" ref="D33:K33">D15/D17</f>
        <v>0.011194148875572466</v>
      </c>
      <c r="E33" s="205">
        <f t="shared" si="12"/>
        <v>0.012636677281289697</v>
      </c>
      <c r="F33" s="205">
        <f t="shared" si="12"/>
        <v>0.005192227139448906</v>
      </c>
      <c r="G33" s="205">
        <f t="shared" si="12"/>
        <v>0.013620852635742586</v>
      </c>
      <c r="H33" s="205">
        <f t="shared" si="12"/>
        <v>0.02835737567847793</v>
      </c>
      <c r="I33" s="205">
        <f t="shared" si="12"/>
        <v>0.063747047282816</v>
      </c>
      <c r="J33" s="205">
        <f t="shared" si="12"/>
        <v>0.021042084168336674</v>
      </c>
      <c r="K33" s="205">
        <f t="shared" si="12"/>
        <v>0</v>
      </c>
      <c r="L33" s="312">
        <f t="shared" si="4"/>
        <v>0.2233760580475709</v>
      </c>
      <c r="M33" s="311">
        <f t="shared" si="5"/>
        <v>0.06976766495474258</v>
      </c>
    </row>
    <row r="34" spans="1:13" ht="14.25" customHeight="1">
      <c r="A34" s="279">
        <v>9</v>
      </c>
      <c r="B34" s="280" t="s">
        <v>148</v>
      </c>
      <c r="C34" s="313">
        <f>C16/C17</f>
        <v>0.36028661140290247</v>
      </c>
      <c r="D34" s="313">
        <f aca="true" t="shared" si="13" ref="D34:K34">D16/D17</f>
        <v>0.3905633150295822</v>
      </c>
      <c r="E34" s="313">
        <f t="shared" si="13"/>
        <v>0.13708937359509327</v>
      </c>
      <c r="F34" s="313">
        <f t="shared" si="13"/>
        <v>0.1665746963157224</v>
      </c>
      <c r="G34" s="313">
        <f t="shared" si="13"/>
        <v>0.07733388754433129</v>
      </c>
      <c r="H34" s="313">
        <f t="shared" si="13"/>
        <v>0.10660024382697926</v>
      </c>
      <c r="I34" s="313">
        <f t="shared" si="13"/>
        <v>0.0528230627524028</v>
      </c>
      <c r="J34" s="313">
        <f t="shared" si="13"/>
        <v>0.15176752063550872</v>
      </c>
      <c r="K34" s="313">
        <f t="shared" si="13"/>
        <v>0.10885109218428314</v>
      </c>
      <c r="L34" s="314">
        <f t="shared" si="4"/>
        <v>0.3468459867299236</v>
      </c>
      <c r="M34" s="311">
        <f t="shared" si="5"/>
        <v>0.1986634259586295</v>
      </c>
    </row>
    <row r="35" spans="1:13" ht="25.5">
      <c r="A35" s="304">
        <v>10</v>
      </c>
      <c r="B35" s="285" t="s">
        <v>149</v>
      </c>
      <c r="C35" s="315">
        <f>C26+C27+C28+C30+C32+C33+C34</f>
        <v>1</v>
      </c>
      <c r="D35" s="315">
        <f aca="true" t="shared" si="14" ref="D35:K35">D26+D27+D28+D30+D32+D33+D34</f>
        <v>1</v>
      </c>
      <c r="E35" s="315">
        <f t="shared" si="14"/>
        <v>1</v>
      </c>
      <c r="F35" s="315">
        <f t="shared" si="14"/>
        <v>1</v>
      </c>
      <c r="G35" s="315">
        <f t="shared" si="14"/>
        <v>1</v>
      </c>
      <c r="H35" s="315">
        <f t="shared" si="14"/>
        <v>1.0000000000000002</v>
      </c>
      <c r="I35" s="315">
        <f t="shared" si="14"/>
        <v>1</v>
      </c>
      <c r="J35" s="315">
        <f t="shared" si="14"/>
        <v>1</v>
      </c>
      <c r="K35" s="315">
        <f t="shared" si="14"/>
        <v>1</v>
      </c>
      <c r="L35" s="316">
        <f>L26+L27+L28+L30+L32+L33+L34</f>
        <v>1</v>
      </c>
      <c r="M35" s="317">
        <f>M26+M27+M28+M30+M32+M33+M34</f>
        <v>1</v>
      </c>
    </row>
    <row r="88" ht="12.75">
      <c r="U88" s="27" t="s">
        <v>114</v>
      </c>
    </row>
    <row r="89" spans="18:28" ht="12.75">
      <c r="R89" s="147" t="s">
        <v>151</v>
      </c>
      <c r="S89" s="7" t="s">
        <v>152</v>
      </c>
      <c r="T89" s="7" t="s">
        <v>153</v>
      </c>
      <c r="U89" s="7" t="s">
        <v>154</v>
      </c>
      <c r="V89" s="7" t="s">
        <v>155</v>
      </c>
      <c r="W89" s="7" t="s">
        <v>156</v>
      </c>
      <c r="X89" s="7" t="s">
        <v>157</v>
      </c>
      <c r="Y89" s="138" t="s">
        <v>158</v>
      </c>
      <c r="Z89" s="7" t="s">
        <v>159</v>
      </c>
      <c r="AA89" s="7" t="s">
        <v>160</v>
      </c>
      <c r="AB89" s="7" t="s">
        <v>161</v>
      </c>
    </row>
    <row r="90" spans="17:28" ht="12.75">
      <c r="Q90" s="27" t="s">
        <v>162</v>
      </c>
      <c r="R90" s="113">
        <f aca="true" t="shared" si="15" ref="R90:AB91">C11</f>
        <v>411251</v>
      </c>
      <c r="S90" s="113">
        <f t="shared" si="15"/>
        <v>559269</v>
      </c>
      <c r="T90" s="113">
        <f t="shared" si="15"/>
        <v>788634</v>
      </c>
      <c r="U90" s="113">
        <f t="shared" si="15"/>
        <v>1186407</v>
      </c>
      <c r="V90" s="113">
        <f t="shared" si="15"/>
        <v>767914</v>
      </c>
      <c r="W90" s="113">
        <f t="shared" si="15"/>
        <v>642271</v>
      </c>
      <c r="X90" s="113">
        <f t="shared" si="15"/>
        <v>756959</v>
      </c>
      <c r="Y90" s="113">
        <f t="shared" si="15"/>
        <v>1135253</v>
      </c>
      <c r="Z90" s="113">
        <f t="shared" si="15"/>
        <v>999160</v>
      </c>
      <c r="AA90" s="113">
        <f t="shared" si="15"/>
        <v>180751</v>
      </c>
      <c r="AB90" s="113">
        <f t="shared" si="15"/>
        <v>720656</v>
      </c>
    </row>
    <row r="91" spans="17:28" ht="12.75">
      <c r="Q91" s="318" t="s">
        <v>144</v>
      </c>
      <c r="R91" s="113">
        <f t="shared" si="15"/>
        <v>118641</v>
      </c>
      <c r="S91" s="113">
        <f t="shared" si="15"/>
        <v>4103</v>
      </c>
      <c r="T91" s="113">
        <f t="shared" si="15"/>
        <v>0</v>
      </c>
      <c r="U91" s="113">
        <f t="shared" si="15"/>
        <v>390760</v>
      </c>
      <c r="V91" s="113">
        <f t="shared" si="15"/>
        <v>320335</v>
      </c>
      <c r="W91" s="113">
        <f t="shared" si="15"/>
        <v>59005</v>
      </c>
      <c r="X91" s="113">
        <f t="shared" si="15"/>
        <v>0</v>
      </c>
      <c r="Y91" s="113">
        <f t="shared" si="15"/>
        <v>13407</v>
      </c>
      <c r="Z91" s="113">
        <f t="shared" si="15"/>
        <v>0</v>
      </c>
      <c r="AA91" s="113">
        <f t="shared" si="15"/>
        <v>0</v>
      </c>
      <c r="AB91" s="113">
        <f t="shared" si="15"/>
        <v>0</v>
      </c>
    </row>
    <row r="92" spans="17:28" ht="12.75">
      <c r="Q92" s="27" t="s">
        <v>163</v>
      </c>
      <c r="R92" s="113">
        <f aca="true" t="shared" si="16" ref="R92:AB92">C17-C13</f>
        <v>659314</v>
      </c>
      <c r="S92" s="113">
        <f t="shared" si="16"/>
        <v>753298</v>
      </c>
      <c r="T92" s="113">
        <f t="shared" si="16"/>
        <v>430753</v>
      </c>
      <c r="U92" s="113">
        <f t="shared" si="16"/>
        <v>619193</v>
      </c>
      <c r="V92" s="113">
        <f t="shared" si="16"/>
        <v>403361</v>
      </c>
      <c r="W92" s="113">
        <f t="shared" si="16"/>
        <v>439697</v>
      </c>
      <c r="X92" s="113">
        <f t="shared" si="16"/>
        <v>412303</v>
      </c>
      <c r="Y92" s="113">
        <f t="shared" si="16"/>
        <v>514008</v>
      </c>
      <c r="Z92" s="113">
        <f t="shared" si="16"/>
        <v>288489</v>
      </c>
      <c r="AA92" s="113">
        <f t="shared" si="16"/>
        <v>568152</v>
      </c>
      <c r="AB92" s="113">
        <f t="shared" si="16"/>
        <v>426007</v>
      </c>
    </row>
    <row r="93" spans="17:28" ht="12.75">
      <c r="Q93" s="27" t="s">
        <v>37</v>
      </c>
      <c r="R93" s="113">
        <f>SUM(R90:R92)</f>
        <v>1189206</v>
      </c>
      <c r="S93" s="113">
        <f aca="true" t="shared" si="17" ref="S93:AB93">SUM(S90:S92)</f>
        <v>1316670</v>
      </c>
      <c r="T93" s="113">
        <f t="shared" si="17"/>
        <v>1219387</v>
      </c>
      <c r="U93" s="113">
        <f t="shared" si="17"/>
        <v>2196360</v>
      </c>
      <c r="V93" s="113">
        <f t="shared" si="17"/>
        <v>1491610</v>
      </c>
      <c r="W93" s="113">
        <f t="shared" si="17"/>
        <v>1140973</v>
      </c>
      <c r="X93" s="113">
        <f t="shared" si="17"/>
        <v>1169262</v>
      </c>
      <c r="Y93" s="113">
        <f t="shared" si="17"/>
        <v>1662668</v>
      </c>
      <c r="Z93" s="113">
        <f t="shared" si="17"/>
        <v>1287649</v>
      </c>
      <c r="AA93" s="113">
        <f t="shared" si="17"/>
        <v>748903</v>
      </c>
      <c r="AB93" s="113">
        <f t="shared" si="17"/>
        <v>1146663</v>
      </c>
    </row>
    <row r="95" spans="18:28" ht="12.75">
      <c r="R95" s="147" t="s">
        <v>151</v>
      </c>
      <c r="S95" s="7" t="s">
        <v>152</v>
      </c>
      <c r="T95" s="7" t="s">
        <v>153</v>
      </c>
      <c r="U95" s="7" t="s">
        <v>154</v>
      </c>
      <c r="V95" s="7" t="s">
        <v>155</v>
      </c>
      <c r="W95" s="7" t="s">
        <v>156</v>
      </c>
      <c r="X95" s="7" t="s">
        <v>157</v>
      </c>
      <c r="Y95" s="7" t="s">
        <v>158</v>
      </c>
      <c r="Z95" s="7" t="s">
        <v>159</v>
      </c>
      <c r="AA95" s="7" t="s">
        <v>160</v>
      </c>
      <c r="AB95" s="7" t="s">
        <v>161</v>
      </c>
    </row>
    <row r="96" spans="17:28" ht="12.75">
      <c r="Q96" s="318" t="s">
        <v>140</v>
      </c>
      <c r="R96" s="113">
        <f aca="true" t="shared" si="18" ref="R96:AB99">C8</f>
        <v>111280</v>
      </c>
      <c r="S96" s="113">
        <f t="shared" si="18"/>
        <v>324858</v>
      </c>
      <c r="T96" s="113">
        <f t="shared" si="18"/>
        <v>477944</v>
      </c>
      <c r="U96" s="113">
        <f t="shared" si="18"/>
        <v>916692</v>
      </c>
      <c r="V96" s="113">
        <f t="shared" si="18"/>
        <v>492071</v>
      </c>
      <c r="W96" s="113">
        <f t="shared" si="18"/>
        <v>379949</v>
      </c>
      <c r="X96" s="113">
        <f t="shared" si="18"/>
        <v>189090</v>
      </c>
      <c r="Y96" s="113">
        <f t="shared" si="18"/>
        <v>333404</v>
      </c>
      <c r="Z96" s="113">
        <f t="shared" si="18"/>
        <v>526673</v>
      </c>
      <c r="AA96" s="113">
        <f t="shared" si="18"/>
        <v>113110</v>
      </c>
      <c r="AB96" s="113">
        <f t="shared" si="18"/>
        <v>663000</v>
      </c>
    </row>
    <row r="97" spans="17:28" ht="12.75">
      <c r="Q97" s="319" t="s">
        <v>141</v>
      </c>
      <c r="R97" s="113">
        <f t="shared" si="18"/>
        <v>217944</v>
      </c>
      <c r="S97" s="113">
        <f t="shared" si="18"/>
        <v>38713</v>
      </c>
      <c r="T97" s="113">
        <f t="shared" si="18"/>
        <v>54678</v>
      </c>
      <c r="U97" s="113">
        <f t="shared" si="18"/>
        <v>114636</v>
      </c>
      <c r="V97" s="113">
        <f t="shared" si="18"/>
        <v>148942</v>
      </c>
      <c r="W97" s="113">
        <f t="shared" si="18"/>
        <v>262322</v>
      </c>
      <c r="X97" s="113">
        <f t="shared" si="18"/>
        <v>516734</v>
      </c>
      <c r="Y97" s="113">
        <f t="shared" si="18"/>
        <v>801849</v>
      </c>
      <c r="Z97" s="113">
        <f t="shared" si="18"/>
        <v>369095</v>
      </c>
      <c r="AA97" s="113">
        <f t="shared" si="18"/>
        <v>12663</v>
      </c>
      <c r="AB97" s="113">
        <f t="shared" si="18"/>
        <v>10000</v>
      </c>
    </row>
    <row r="98" spans="17:28" ht="12.75">
      <c r="Q98" s="320" t="s">
        <v>142</v>
      </c>
      <c r="R98" s="113">
        <f t="shared" si="18"/>
        <v>82027</v>
      </c>
      <c r="S98" s="113">
        <f t="shared" si="18"/>
        <v>195698</v>
      </c>
      <c r="T98" s="113">
        <f t="shared" si="18"/>
        <v>256012</v>
      </c>
      <c r="U98" s="113">
        <f t="shared" si="18"/>
        <v>155079</v>
      </c>
      <c r="V98" s="113">
        <f t="shared" si="18"/>
        <v>126901</v>
      </c>
      <c r="W98" s="113">
        <f t="shared" si="18"/>
        <v>0</v>
      </c>
      <c r="X98" s="113">
        <f t="shared" si="18"/>
        <v>51135</v>
      </c>
      <c r="Y98" s="113">
        <f t="shared" si="18"/>
        <v>0</v>
      </c>
      <c r="Z98" s="113">
        <f t="shared" si="18"/>
        <v>103392</v>
      </c>
      <c r="AA98" s="113">
        <f t="shared" si="18"/>
        <v>54978</v>
      </c>
      <c r="AB98" s="113">
        <f t="shared" si="18"/>
        <v>47656</v>
      </c>
    </row>
    <row r="99" spans="17:28" ht="12.75">
      <c r="Q99" s="321" t="s">
        <v>37</v>
      </c>
      <c r="R99" s="113">
        <f t="shared" si="18"/>
        <v>411251</v>
      </c>
      <c r="S99" s="113">
        <f t="shared" si="18"/>
        <v>559269</v>
      </c>
      <c r="T99" s="113">
        <f t="shared" si="18"/>
        <v>788634</v>
      </c>
      <c r="U99" s="113">
        <f t="shared" si="18"/>
        <v>1186407</v>
      </c>
      <c r="V99" s="113">
        <f t="shared" si="18"/>
        <v>767914</v>
      </c>
      <c r="W99" s="113">
        <f t="shared" si="18"/>
        <v>642271</v>
      </c>
      <c r="X99" s="113">
        <f t="shared" si="18"/>
        <v>756959</v>
      </c>
      <c r="Y99" s="113">
        <f t="shared" si="18"/>
        <v>1135253</v>
      </c>
      <c r="Z99" s="113">
        <f t="shared" si="18"/>
        <v>999160</v>
      </c>
      <c r="AA99" s="113">
        <f t="shared" si="18"/>
        <v>180751</v>
      </c>
      <c r="AB99" s="113">
        <f t="shared" si="18"/>
        <v>720656</v>
      </c>
    </row>
    <row r="101" spans="18:28" ht="12.75">
      <c r="R101" s="147" t="s">
        <v>151</v>
      </c>
      <c r="S101" s="7" t="s">
        <v>152</v>
      </c>
      <c r="T101" s="7" t="s">
        <v>153</v>
      </c>
      <c r="U101" s="7" t="s">
        <v>154</v>
      </c>
      <c r="V101" s="7" t="s">
        <v>155</v>
      </c>
      <c r="W101" s="7" t="s">
        <v>156</v>
      </c>
      <c r="X101" s="7" t="s">
        <v>157</v>
      </c>
      <c r="Y101" s="7" t="s">
        <v>158</v>
      </c>
      <c r="Z101" s="7" t="s">
        <v>159</v>
      </c>
      <c r="AA101" s="7" t="s">
        <v>160</v>
      </c>
      <c r="AB101" s="7" t="s">
        <v>161</v>
      </c>
    </row>
    <row r="102" spans="17:28" ht="12.75">
      <c r="Q102" s="321" t="str">
        <f aca="true" t="shared" si="19" ref="Q102:AB102">B12</f>
        <v>Üzletrész és értékpapír értékesítés</v>
      </c>
      <c r="R102" s="113">
        <f t="shared" si="19"/>
        <v>118641</v>
      </c>
      <c r="S102" s="113">
        <f t="shared" si="19"/>
        <v>4103</v>
      </c>
      <c r="T102" s="113">
        <f t="shared" si="19"/>
        <v>0</v>
      </c>
      <c r="U102" s="113">
        <f t="shared" si="19"/>
        <v>390760</v>
      </c>
      <c r="V102" s="113">
        <f t="shared" si="19"/>
        <v>320335</v>
      </c>
      <c r="W102" s="113">
        <f t="shared" si="19"/>
        <v>59005</v>
      </c>
      <c r="X102" s="113">
        <f t="shared" si="19"/>
        <v>0</v>
      </c>
      <c r="Y102" s="113">
        <f t="shared" si="19"/>
        <v>13407</v>
      </c>
      <c r="Z102" s="113">
        <f t="shared" si="19"/>
        <v>0</v>
      </c>
      <c r="AA102" s="113">
        <f t="shared" si="19"/>
        <v>0</v>
      </c>
      <c r="AB102" s="113">
        <f t="shared" si="19"/>
        <v>0</v>
      </c>
    </row>
    <row r="103" spans="17:28" ht="12.75">
      <c r="Q103" s="319" t="s">
        <v>146</v>
      </c>
      <c r="R103" s="113">
        <f aca="true" t="shared" si="20" ref="R103:AB105">C14</f>
        <v>226981</v>
      </c>
      <c r="S103" s="113">
        <f t="shared" si="20"/>
        <v>224316</v>
      </c>
      <c r="T103" s="113">
        <f t="shared" si="20"/>
        <v>248179</v>
      </c>
      <c r="U103" s="113">
        <f t="shared" si="20"/>
        <v>241931</v>
      </c>
      <c r="V103" s="113">
        <f t="shared" si="20"/>
        <v>267692</v>
      </c>
      <c r="W103" s="113">
        <f t="shared" si="20"/>
        <v>285714</v>
      </c>
      <c r="X103" s="113">
        <f t="shared" si="20"/>
        <v>276002</v>
      </c>
      <c r="Y103" s="113">
        <f t="shared" si="20"/>
        <v>226683</v>
      </c>
      <c r="Z103" s="113">
        <f t="shared" si="20"/>
        <v>148327</v>
      </c>
      <c r="AA103" s="113">
        <f t="shared" si="20"/>
        <v>141111</v>
      </c>
      <c r="AB103" s="113">
        <f t="shared" si="20"/>
        <v>118207</v>
      </c>
    </row>
    <row r="104" spans="17:28" ht="12.75">
      <c r="Q104" s="319" t="s">
        <v>147</v>
      </c>
      <c r="R104" s="113">
        <f t="shared" si="20"/>
        <v>3878</v>
      </c>
      <c r="S104" s="113">
        <f t="shared" si="20"/>
        <v>14739</v>
      </c>
      <c r="T104" s="113">
        <f t="shared" si="20"/>
        <v>15409</v>
      </c>
      <c r="U104" s="113">
        <f t="shared" si="20"/>
        <v>11404</v>
      </c>
      <c r="V104" s="113">
        <f t="shared" si="20"/>
        <v>20317</v>
      </c>
      <c r="W104" s="113">
        <f t="shared" si="20"/>
        <v>32355</v>
      </c>
      <c r="X104" s="113">
        <f t="shared" si="20"/>
        <v>74537</v>
      </c>
      <c r="Y104" s="113">
        <f t="shared" si="20"/>
        <v>34986</v>
      </c>
      <c r="Z104" s="113">
        <f t="shared" si="20"/>
        <v>0</v>
      </c>
      <c r="AA104" s="113">
        <f t="shared" si="20"/>
        <v>167287</v>
      </c>
      <c r="AB104" s="113">
        <f t="shared" si="20"/>
        <v>80000</v>
      </c>
    </row>
    <row r="105" spans="17:28" ht="12.75">
      <c r="Q105" s="319" t="s">
        <v>148</v>
      </c>
      <c r="R105" s="113">
        <f t="shared" si="20"/>
        <v>428455</v>
      </c>
      <c r="S105" s="113">
        <f t="shared" si="20"/>
        <v>514243</v>
      </c>
      <c r="T105" s="113">
        <f t="shared" si="20"/>
        <v>167165</v>
      </c>
      <c r="U105" s="113">
        <f t="shared" si="20"/>
        <v>365858</v>
      </c>
      <c r="V105" s="113">
        <f t="shared" si="20"/>
        <v>115352</v>
      </c>
      <c r="W105" s="113">
        <f t="shared" si="20"/>
        <v>121628</v>
      </c>
      <c r="X105" s="113">
        <f t="shared" si="20"/>
        <v>61764</v>
      </c>
      <c r="Y105" s="113">
        <f t="shared" si="20"/>
        <v>252339</v>
      </c>
      <c r="Z105" s="113">
        <f t="shared" si="20"/>
        <v>140162</v>
      </c>
      <c r="AA105" s="113">
        <f t="shared" si="20"/>
        <v>259754</v>
      </c>
      <c r="AB105" s="113">
        <f t="shared" si="20"/>
        <v>227800</v>
      </c>
    </row>
    <row r="107" spans="17:28" ht="12.75">
      <c r="Q107" s="321" t="s">
        <v>37</v>
      </c>
      <c r="R107" s="113">
        <f aca="true" t="shared" si="21" ref="R107:Z107">SUM(R102:R105)</f>
        <v>777955</v>
      </c>
      <c r="S107" s="113">
        <f t="shared" si="21"/>
        <v>757401</v>
      </c>
      <c r="T107" s="113">
        <f t="shared" si="21"/>
        <v>430753</v>
      </c>
      <c r="U107" s="113">
        <f t="shared" si="21"/>
        <v>1009953</v>
      </c>
      <c r="V107" s="113">
        <f t="shared" si="21"/>
        <v>723696</v>
      </c>
      <c r="W107" s="113">
        <f t="shared" si="21"/>
        <v>498702</v>
      </c>
      <c r="X107" s="113">
        <f t="shared" si="21"/>
        <v>412303</v>
      </c>
      <c r="Y107" s="113">
        <f t="shared" si="21"/>
        <v>527415</v>
      </c>
      <c r="Z107" s="113">
        <f t="shared" si="21"/>
        <v>288489</v>
      </c>
      <c r="AA107" s="113">
        <f>SUM(AA102:AA105)</f>
        <v>568152</v>
      </c>
      <c r="AB107" s="113">
        <f>SUM(AB102:AB105)</f>
        <v>426007</v>
      </c>
    </row>
  </sheetData>
  <mergeCells count="10">
    <mergeCell ref="B2:M2"/>
    <mergeCell ref="A21:M21"/>
    <mergeCell ref="A6:A7"/>
    <mergeCell ref="B6:B7"/>
    <mergeCell ref="M6:M7"/>
    <mergeCell ref="C6:L6"/>
    <mergeCell ref="M24:M25"/>
    <mergeCell ref="B24:B25"/>
    <mergeCell ref="A24:A25"/>
    <mergeCell ref="C24:L24"/>
  </mergeCells>
  <printOptions horizontalCentered="1"/>
  <pageMargins left="0.1968503937007874" right="0.1968503937007874" top="0.91" bottom="0.71" header="0.5118110236220472" footer="0.5118110236220472"/>
  <pageSetup horizontalDpi="600" verticalDpi="600" orientation="landscape" paperSize="9" scale="77" r:id="rId2"/>
  <rowBreaks count="1" manualBreakCount="1">
    <brk id="38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T53"/>
  <sheetViews>
    <sheetView workbookViewId="0" topLeftCell="A1">
      <selection activeCell="B9" sqref="B9:F9"/>
    </sheetView>
  </sheetViews>
  <sheetFormatPr defaultColWidth="9.140625" defaultRowHeight="12.75"/>
  <cols>
    <col min="1" max="5" width="9.140625" style="217" customWidth="1"/>
    <col min="6" max="6" width="4.140625" style="217" customWidth="1"/>
    <col min="7" max="8" width="10.7109375" style="217" customWidth="1"/>
    <col min="9" max="9" width="10.8515625" style="217" customWidth="1"/>
    <col min="10" max="11" width="10.7109375" style="217" customWidth="1"/>
    <col min="12" max="12" width="10.8515625" style="217" customWidth="1"/>
    <col min="13" max="15" width="10.7109375" style="217" customWidth="1"/>
    <col min="16" max="16" width="10.28125" style="217" customWidth="1"/>
    <col min="17" max="17" width="0" style="217" hidden="1" customWidth="1"/>
    <col min="18" max="16384" width="9.140625" style="217" customWidth="1"/>
  </cols>
  <sheetData>
    <row r="1" ht="12.75">
      <c r="Q1" s="218"/>
    </row>
    <row r="2" ht="12.75">
      <c r="Q2" s="218"/>
    </row>
    <row r="3" spans="1:18" ht="15.75">
      <c r="A3" s="842" t="s">
        <v>119</v>
      </c>
      <c r="B3" s="842"/>
      <c r="C3" s="842"/>
      <c r="D3" s="842"/>
      <c r="E3" s="842"/>
      <c r="F3" s="842"/>
      <c r="G3" s="842"/>
      <c r="H3" s="842"/>
      <c r="I3" s="842"/>
      <c r="J3" s="842"/>
      <c r="K3" s="842"/>
      <c r="L3" s="842"/>
      <c r="M3" s="842"/>
      <c r="N3" s="842"/>
      <c r="O3" s="842"/>
      <c r="P3" s="842"/>
      <c r="Q3" s="842"/>
      <c r="R3" s="842"/>
    </row>
    <row r="5" ht="12.75">
      <c r="Q5" s="218" t="s">
        <v>12</v>
      </c>
    </row>
    <row r="6" spans="1:17" ht="19.5" customHeight="1">
      <c r="A6" s="850" t="s">
        <v>46</v>
      </c>
      <c r="B6" s="851"/>
      <c r="C6" s="851"/>
      <c r="D6" s="851"/>
      <c r="E6" s="851"/>
      <c r="F6" s="851"/>
      <c r="G6" s="847" t="s">
        <v>120</v>
      </c>
      <c r="H6" s="848"/>
      <c r="I6" s="848"/>
      <c r="J6" s="848"/>
      <c r="K6" s="848"/>
      <c r="L6" s="848"/>
      <c r="M6" s="848"/>
      <c r="N6" s="848"/>
      <c r="O6" s="848"/>
      <c r="P6" s="849"/>
      <c r="Q6" s="845" t="s">
        <v>3</v>
      </c>
    </row>
    <row r="7" spans="1:17" ht="32.25" customHeight="1">
      <c r="A7" s="852"/>
      <c r="B7" s="853"/>
      <c r="C7" s="853"/>
      <c r="D7" s="853"/>
      <c r="E7" s="853"/>
      <c r="F7" s="853"/>
      <c r="G7" s="219" t="s">
        <v>5</v>
      </c>
      <c r="H7" s="219" t="s">
        <v>6</v>
      </c>
      <c r="I7" s="219" t="s">
        <v>7</v>
      </c>
      <c r="J7" s="220" t="s">
        <v>8</v>
      </c>
      <c r="K7" s="221" t="s">
        <v>9</v>
      </c>
      <c r="L7" s="219" t="s">
        <v>47</v>
      </c>
      <c r="M7" s="219" t="s">
        <v>48</v>
      </c>
      <c r="N7" s="222" t="s">
        <v>49</v>
      </c>
      <c r="O7" s="222" t="s">
        <v>1</v>
      </c>
      <c r="P7" s="223" t="s">
        <v>10</v>
      </c>
      <c r="Q7" s="846"/>
    </row>
    <row r="8" spans="1:20" ht="19.5" customHeight="1">
      <c r="A8" s="854" t="s">
        <v>121</v>
      </c>
      <c r="B8" s="855"/>
      <c r="C8" s="855"/>
      <c r="D8" s="855"/>
      <c r="E8" s="855"/>
      <c r="F8" s="855"/>
      <c r="G8" s="224"/>
      <c r="H8" s="224"/>
      <c r="I8" s="224"/>
      <c r="J8" s="225"/>
      <c r="K8" s="225"/>
      <c r="L8" s="225"/>
      <c r="M8" s="224"/>
      <c r="N8" s="224"/>
      <c r="O8" s="226"/>
      <c r="P8" s="227"/>
      <c r="Q8" s="228"/>
      <c r="T8" s="229"/>
    </row>
    <row r="9" spans="1:17" ht="19.5" customHeight="1">
      <c r="A9" s="230"/>
      <c r="B9" s="856" t="s">
        <v>122</v>
      </c>
      <c r="C9" s="856"/>
      <c r="D9" s="856"/>
      <c r="E9" s="856"/>
      <c r="F9" s="857"/>
      <c r="G9" s="231">
        <v>0.014</v>
      </c>
      <c r="H9" s="231">
        <v>0.017</v>
      </c>
      <c r="I9" s="232">
        <v>0.02</v>
      </c>
      <c r="J9" s="232">
        <v>0.02</v>
      </c>
      <c r="K9" s="232">
        <v>0.02</v>
      </c>
      <c r="L9" s="232">
        <v>0.02</v>
      </c>
      <c r="M9" s="232">
        <v>0.02</v>
      </c>
      <c r="N9" s="232">
        <v>0.02</v>
      </c>
      <c r="O9" s="233">
        <v>0.02</v>
      </c>
      <c r="P9" s="234">
        <v>0.02</v>
      </c>
      <c r="Q9" s="235">
        <v>0.02</v>
      </c>
    </row>
    <row r="10" spans="1:17" ht="19.5" customHeight="1">
      <c r="A10" s="230"/>
      <c r="B10" s="836" t="s">
        <v>123</v>
      </c>
      <c r="C10" s="836"/>
      <c r="D10" s="836"/>
      <c r="E10" s="836"/>
      <c r="F10" s="837"/>
      <c r="G10" s="231">
        <v>0.013</v>
      </c>
      <c r="H10" s="231">
        <v>0.016</v>
      </c>
      <c r="I10" s="232">
        <v>0.02</v>
      </c>
      <c r="J10" s="232">
        <v>0.02</v>
      </c>
      <c r="K10" s="232">
        <v>0.02</v>
      </c>
      <c r="L10" s="232">
        <v>0.02</v>
      </c>
      <c r="M10" s="232">
        <v>0.02</v>
      </c>
      <c r="N10" s="232">
        <v>0.02</v>
      </c>
      <c r="O10" s="233">
        <v>0.02</v>
      </c>
      <c r="P10" s="234">
        <v>0.02</v>
      </c>
      <c r="Q10" s="235">
        <v>0.02</v>
      </c>
    </row>
    <row r="11" spans="1:17" ht="19.5" customHeight="1">
      <c r="A11" s="843" t="s">
        <v>124</v>
      </c>
      <c r="B11" s="844"/>
      <c r="C11" s="844"/>
      <c r="D11" s="844"/>
      <c r="E11" s="844"/>
      <c r="F11" s="844"/>
      <c r="G11" s="170"/>
      <c r="H11" s="170"/>
      <c r="I11" s="170"/>
      <c r="J11" s="170"/>
      <c r="K11" s="170"/>
      <c r="L11" s="170"/>
      <c r="M11" s="170"/>
      <c r="N11" s="170"/>
      <c r="O11" s="236"/>
      <c r="P11" s="155"/>
      <c r="Q11" s="237"/>
    </row>
    <row r="12" spans="1:17" ht="19.5" customHeight="1">
      <c r="A12" s="230"/>
      <c r="B12" s="836" t="s">
        <v>122</v>
      </c>
      <c r="C12" s="836"/>
      <c r="D12" s="836"/>
      <c r="E12" s="836"/>
      <c r="F12" s="837"/>
      <c r="G12" s="238" t="s">
        <v>133</v>
      </c>
      <c r="H12" s="238" t="s">
        <v>133</v>
      </c>
      <c r="I12" s="238" t="s">
        <v>133</v>
      </c>
      <c r="J12" s="238" t="s">
        <v>133</v>
      </c>
      <c r="K12" s="238" t="s">
        <v>133</v>
      </c>
      <c r="L12" s="238" t="s">
        <v>133</v>
      </c>
      <c r="M12" s="238" t="s">
        <v>133</v>
      </c>
      <c r="N12" s="238" t="s">
        <v>133</v>
      </c>
      <c r="O12" s="238" t="s">
        <v>133</v>
      </c>
      <c r="P12" s="239" t="s">
        <v>133</v>
      </c>
      <c r="Q12" s="240" t="s">
        <v>133</v>
      </c>
    </row>
    <row r="13" spans="1:17" ht="19.5" customHeight="1">
      <c r="A13" s="230"/>
      <c r="B13" s="836" t="s">
        <v>123</v>
      </c>
      <c r="C13" s="836"/>
      <c r="D13" s="836"/>
      <c r="E13" s="836"/>
      <c r="F13" s="837"/>
      <c r="G13" s="238" t="s">
        <v>134</v>
      </c>
      <c r="H13" s="238" t="s">
        <v>134</v>
      </c>
      <c r="I13" s="238" t="s">
        <v>135</v>
      </c>
      <c r="J13" s="238" t="s">
        <v>135</v>
      </c>
      <c r="K13" s="238" t="s">
        <v>135</v>
      </c>
      <c r="L13" s="238" t="s">
        <v>135</v>
      </c>
      <c r="M13" s="238" t="s">
        <v>135</v>
      </c>
      <c r="N13" s="238" t="s">
        <v>133</v>
      </c>
      <c r="O13" s="238" t="s">
        <v>133</v>
      </c>
      <c r="P13" s="239" t="s">
        <v>133</v>
      </c>
      <c r="Q13" s="240" t="s">
        <v>133</v>
      </c>
    </row>
    <row r="14" spans="1:17" ht="19.5" customHeight="1">
      <c r="A14" s="843" t="s">
        <v>125</v>
      </c>
      <c r="B14" s="844"/>
      <c r="C14" s="844"/>
      <c r="D14" s="844"/>
      <c r="E14" s="844"/>
      <c r="F14" s="844"/>
      <c r="G14" s="241">
        <v>1332</v>
      </c>
      <c r="H14" s="241">
        <v>1935</v>
      </c>
      <c r="I14" s="241">
        <v>2179</v>
      </c>
      <c r="J14" s="241">
        <v>2525</v>
      </c>
      <c r="K14" s="241">
        <v>2689</v>
      </c>
      <c r="L14" s="241">
        <v>2759</v>
      </c>
      <c r="M14" s="241">
        <v>2904</v>
      </c>
      <c r="N14" s="241">
        <v>3403</v>
      </c>
      <c r="O14" s="242">
        <f>SUM(O17,O15)</f>
        <v>3774</v>
      </c>
      <c r="P14" s="243">
        <v>3774</v>
      </c>
      <c r="Q14" s="244">
        <f>SUM(Q15,Q17)</f>
        <v>4100</v>
      </c>
    </row>
    <row r="15" spans="1:17" ht="19.5" customHeight="1">
      <c r="A15" s="245"/>
      <c r="B15" s="836" t="s">
        <v>126</v>
      </c>
      <c r="C15" s="836"/>
      <c r="D15" s="836"/>
      <c r="E15" s="836"/>
      <c r="F15" s="837"/>
      <c r="G15" s="246">
        <v>1186</v>
      </c>
      <c r="H15" s="246">
        <v>1790</v>
      </c>
      <c r="I15" s="246">
        <v>1830</v>
      </c>
      <c r="J15" s="246">
        <v>2194</v>
      </c>
      <c r="K15" s="246">
        <v>2310</v>
      </c>
      <c r="L15" s="246">
        <v>2378</v>
      </c>
      <c r="M15" s="246">
        <v>2515</v>
      </c>
      <c r="N15" s="246">
        <v>2678</v>
      </c>
      <c r="O15" s="247">
        <v>3009</v>
      </c>
      <c r="P15" s="248">
        <v>3298</v>
      </c>
      <c r="Q15" s="249">
        <v>3300</v>
      </c>
    </row>
    <row r="16" spans="1:17" ht="19.5" customHeight="1">
      <c r="A16" s="245"/>
      <c r="B16" s="836" t="s">
        <v>127</v>
      </c>
      <c r="C16" s="836"/>
      <c r="D16" s="836"/>
      <c r="E16" s="836"/>
      <c r="F16" s="837"/>
      <c r="G16" s="246">
        <v>6148</v>
      </c>
      <c r="H16" s="246">
        <v>5939</v>
      </c>
      <c r="I16" s="246">
        <v>7529</v>
      </c>
      <c r="J16" s="246">
        <v>7142</v>
      </c>
      <c r="K16" s="246">
        <v>7407</v>
      </c>
      <c r="L16" s="246">
        <v>7728</v>
      </c>
      <c r="M16" s="246">
        <v>8286</v>
      </c>
      <c r="N16" s="246">
        <v>8179</v>
      </c>
      <c r="O16" s="250">
        <v>8454</v>
      </c>
      <c r="P16" s="251">
        <v>8563</v>
      </c>
      <c r="Q16" s="249">
        <v>8569</v>
      </c>
    </row>
    <row r="17" spans="1:17" ht="19.5" customHeight="1">
      <c r="A17" s="245"/>
      <c r="B17" s="836" t="s">
        <v>128</v>
      </c>
      <c r="C17" s="836"/>
      <c r="D17" s="836"/>
      <c r="E17" s="836"/>
      <c r="F17" s="837"/>
      <c r="G17" s="246">
        <v>146</v>
      </c>
      <c r="H17" s="246">
        <v>145</v>
      </c>
      <c r="I17" s="246">
        <v>349</v>
      </c>
      <c r="J17" s="246">
        <v>331</v>
      </c>
      <c r="K17" s="246">
        <v>379</v>
      </c>
      <c r="L17" s="246">
        <v>381</v>
      </c>
      <c r="M17" s="246">
        <v>389</v>
      </c>
      <c r="N17" s="246">
        <v>725</v>
      </c>
      <c r="O17" s="250">
        <v>765</v>
      </c>
      <c r="P17" s="251">
        <v>793</v>
      </c>
      <c r="Q17" s="249">
        <v>800</v>
      </c>
    </row>
    <row r="18" spans="1:17" ht="19.5" customHeight="1">
      <c r="A18" s="252"/>
      <c r="B18" s="840" t="s">
        <v>129</v>
      </c>
      <c r="C18" s="840"/>
      <c r="D18" s="840"/>
      <c r="E18" s="840"/>
      <c r="F18" s="841"/>
      <c r="G18" s="253">
        <v>881</v>
      </c>
      <c r="H18" s="253">
        <v>927</v>
      </c>
      <c r="I18" s="253">
        <v>969</v>
      </c>
      <c r="J18" s="253">
        <v>973</v>
      </c>
      <c r="K18" s="253">
        <v>1031</v>
      </c>
      <c r="L18" s="253">
        <v>995</v>
      </c>
      <c r="M18" s="253">
        <v>990</v>
      </c>
      <c r="N18" s="253">
        <v>1016</v>
      </c>
      <c r="O18" s="254">
        <v>1035</v>
      </c>
      <c r="P18" s="255">
        <v>1011</v>
      </c>
      <c r="Q18" s="256">
        <v>1011</v>
      </c>
    </row>
    <row r="19" spans="1:16" ht="12.75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</row>
    <row r="20" spans="1:17" ht="12.75">
      <c r="A20" s="257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8"/>
      <c r="N20" s="257"/>
      <c r="O20" s="257"/>
      <c r="P20" s="257"/>
      <c r="Q20" s="258"/>
    </row>
    <row r="21" ht="12.75">
      <c r="A21" s="257"/>
    </row>
    <row r="50" spans="2:17" ht="13.5" thickBot="1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</row>
    <row r="51" spans="2:17" ht="13.5" thickTop="1">
      <c r="B51" s="838"/>
      <c r="C51" s="838"/>
      <c r="D51" s="838"/>
      <c r="E51" s="838"/>
      <c r="F51" s="839"/>
      <c r="G51" s="259">
        <v>1998</v>
      </c>
      <c r="H51" s="259">
        <v>1999</v>
      </c>
      <c r="I51" s="259">
        <v>2000</v>
      </c>
      <c r="J51" s="260">
        <v>2001</v>
      </c>
      <c r="K51" s="261">
        <v>2002</v>
      </c>
      <c r="L51" s="259">
        <v>2003</v>
      </c>
      <c r="M51" s="259">
        <v>2004</v>
      </c>
      <c r="N51" s="259">
        <v>2005</v>
      </c>
      <c r="O51" s="262">
        <v>2006</v>
      </c>
      <c r="P51" s="262">
        <v>2007</v>
      </c>
      <c r="Q51" s="262" t="s">
        <v>130</v>
      </c>
    </row>
    <row r="52" spans="2:17" ht="12.75">
      <c r="B52" s="834" t="s">
        <v>131</v>
      </c>
      <c r="C52" s="834"/>
      <c r="D52" s="834"/>
      <c r="E52" s="834"/>
      <c r="F52" s="835"/>
      <c r="G52" s="263">
        <f aca="true" t="shared" si="0" ref="G52:O52">G15</f>
        <v>1186</v>
      </c>
      <c r="H52" s="263">
        <f t="shared" si="0"/>
        <v>1790</v>
      </c>
      <c r="I52" s="263">
        <f t="shared" si="0"/>
        <v>1830</v>
      </c>
      <c r="J52" s="263">
        <f t="shared" si="0"/>
        <v>2194</v>
      </c>
      <c r="K52" s="263">
        <f t="shared" si="0"/>
        <v>2310</v>
      </c>
      <c r="L52" s="263">
        <f t="shared" si="0"/>
        <v>2378</v>
      </c>
      <c r="M52" s="263">
        <f t="shared" si="0"/>
        <v>2515</v>
      </c>
      <c r="N52" s="263">
        <f t="shared" si="0"/>
        <v>2678</v>
      </c>
      <c r="O52" s="263">
        <f t="shared" si="0"/>
        <v>3009</v>
      </c>
      <c r="P52" s="263">
        <f>P15</f>
        <v>3298</v>
      </c>
      <c r="Q52" s="263">
        <f>Q15</f>
        <v>3300</v>
      </c>
    </row>
    <row r="53" spans="2:17" ht="12.75">
      <c r="B53" s="834" t="s">
        <v>132</v>
      </c>
      <c r="C53" s="834"/>
      <c r="D53" s="834"/>
      <c r="E53" s="834"/>
      <c r="F53" s="835"/>
      <c r="G53" s="263">
        <f aca="true" t="shared" si="1" ref="G53:O53">G17</f>
        <v>146</v>
      </c>
      <c r="H53" s="263">
        <f t="shared" si="1"/>
        <v>145</v>
      </c>
      <c r="I53" s="263">
        <f t="shared" si="1"/>
        <v>349</v>
      </c>
      <c r="J53" s="263">
        <f t="shared" si="1"/>
        <v>331</v>
      </c>
      <c r="K53" s="263">
        <f t="shared" si="1"/>
        <v>379</v>
      </c>
      <c r="L53" s="263">
        <f t="shared" si="1"/>
        <v>381</v>
      </c>
      <c r="M53" s="263">
        <f t="shared" si="1"/>
        <v>389</v>
      </c>
      <c r="N53" s="263">
        <f t="shared" si="1"/>
        <v>725</v>
      </c>
      <c r="O53" s="263">
        <f t="shared" si="1"/>
        <v>765</v>
      </c>
      <c r="P53" s="263">
        <f>P17</f>
        <v>793</v>
      </c>
      <c r="Q53" s="217">
        <f>Q17</f>
        <v>800</v>
      </c>
    </row>
  </sheetData>
  <mergeCells count="18">
    <mergeCell ref="A14:F14"/>
    <mergeCell ref="B15:F15"/>
    <mergeCell ref="A6:F7"/>
    <mergeCell ref="A8:F8"/>
    <mergeCell ref="B9:F9"/>
    <mergeCell ref="B10:F10"/>
    <mergeCell ref="A3:R3"/>
    <mergeCell ref="B12:F12"/>
    <mergeCell ref="B13:F13"/>
    <mergeCell ref="A11:F11"/>
    <mergeCell ref="Q6:Q7"/>
    <mergeCell ref="G6:P6"/>
    <mergeCell ref="B52:F52"/>
    <mergeCell ref="B16:F16"/>
    <mergeCell ref="B53:F53"/>
    <mergeCell ref="B51:F51"/>
    <mergeCell ref="B18:F18"/>
    <mergeCell ref="B17:F1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72" r:id="rId2"/>
  <rowBreaks count="1" manualBreakCount="1">
    <brk id="42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2:Z251"/>
  <sheetViews>
    <sheetView zoomScale="80" zoomScaleNormal="80" workbookViewId="0" topLeftCell="A34">
      <selection activeCell="E47" sqref="E47"/>
    </sheetView>
  </sheetViews>
  <sheetFormatPr defaultColWidth="9.140625" defaultRowHeight="12.75"/>
  <cols>
    <col min="1" max="1" width="36.8515625" style="27" customWidth="1"/>
    <col min="2" max="3" width="12.57421875" style="27" hidden="1" customWidth="1"/>
    <col min="4" max="11" width="15.7109375" style="27" customWidth="1"/>
    <col min="12" max="13" width="9.140625" style="27" customWidth="1"/>
    <col min="14" max="14" width="36.7109375" style="27" customWidth="1"/>
    <col min="15" max="25" width="11.7109375" style="27" customWidth="1"/>
    <col min="26" max="16384" width="9.140625" style="27" customWidth="1"/>
  </cols>
  <sheetData>
    <row r="2" spans="1:11" ht="15.75">
      <c r="A2" s="827" t="s">
        <v>54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</row>
    <row r="4" ht="12.75">
      <c r="J4" s="38"/>
    </row>
    <row r="5" spans="1:11" ht="18.75" customHeight="1">
      <c r="A5" s="858" t="s">
        <v>46</v>
      </c>
      <c r="B5" s="136" t="s">
        <v>25</v>
      </c>
      <c r="C5" s="137"/>
      <c r="D5" s="867" t="s">
        <v>50</v>
      </c>
      <c r="E5" s="867"/>
      <c r="F5" s="867"/>
      <c r="G5" s="867"/>
      <c r="H5" s="867"/>
      <c r="I5" s="867"/>
      <c r="J5" s="867"/>
      <c r="K5" s="868"/>
    </row>
    <row r="6" spans="1:11" ht="18.75" customHeight="1">
      <c r="A6" s="859"/>
      <c r="B6" s="7">
        <v>1998</v>
      </c>
      <c r="C6" s="7">
        <v>1999</v>
      </c>
      <c r="D6" s="7" t="s">
        <v>7</v>
      </c>
      <c r="E6" s="7" t="s">
        <v>8</v>
      </c>
      <c r="F6" s="7" t="s">
        <v>9</v>
      </c>
      <c r="G6" s="7" t="s">
        <v>47</v>
      </c>
      <c r="H6" s="7" t="s">
        <v>48</v>
      </c>
      <c r="I6" s="7" t="s">
        <v>49</v>
      </c>
      <c r="J6" s="7" t="s">
        <v>1</v>
      </c>
      <c r="K6" s="130" t="s">
        <v>10</v>
      </c>
    </row>
    <row r="7" spans="1:11" ht="18.75" customHeight="1">
      <c r="A7" s="131" t="s">
        <v>26</v>
      </c>
      <c r="B7" s="32">
        <v>4208240</v>
      </c>
      <c r="C7" s="32">
        <v>4777712</v>
      </c>
      <c r="D7" s="32">
        <v>4983642</v>
      </c>
      <c r="E7" s="32">
        <v>5827464</v>
      </c>
      <c r="F7" s="32">
        <v>7209983</v>
      </c>
      <c r="G7" s="32">
        <v>9062760</v>
      </c>
      <c r="H7" s="32">
        <v>9221611</v>
      </c>
      <c r="I7" s="32">
        <v>9993605</v>
      </c>
      <c r="J7" s="31">
        <v>10414965</v>
      </c>
      <c r="K7" s="105">
        <f>8161882+2597577</f>
        <v>10759459</v>
      </c>
    </row>
    <row r="8" spans="1:11" ht="18.75" customHeight="1">
      <c r="A8" s="109" t="s">
        <v>27</v>
      </c>
      <c r="B8" s="34">
        <v>2425962</v>
      </c>
      <c r="C8" s="34">
        <v>1799580</v>
      </c>
      <c r="D8" s="34">
        <v>2203550</v>
      </c>
      <c r="E8" s="34">
        <v>5126577</v>
      </c>
      <c r="F8" s="34">
        <v>3028663</v>
      </c>
      <c r="G8" s="34">
        <v>1773290</v>
      </c>
      <c r="H8" s="34">
        <v>2616472</v>
      </c>
      <c r="I8" s="34">
        <v>4269455</v>
      </c>
      <c r="J8" s="34">
        <v>6084835</v>
      </c>
      <c r="K8" s="35">
        <v>3766325</v>
      </c>
    </row>
    <row r="9" spans="1:11" ht="18.75" customHeight="1">
      <c r="A9" s="132" t="s">
        <v>28</v>
      </c>
      <c r="B9" s="79">
        <v>4913636</v>
      </c>
      <c r="C9" s="79">
        <v>5505898</v>
      </c>
      <c r="D9" s="79">
        <v>7060590</v>
      </c>
      <c r="E9" s="79">
        <v>9610834</v>
      </c>
      <c r="F9" s="79">
        <v>9359603</v>
      </c>
      <c r="G9" s="79">
        <v>11662567</v>
      </c>
      <c r="H9" s="79">
        <v>8149588</v>
      </c>
      <c r="I9" s="79">
        <v>10909516</v>
      </c>
      <c r="J9" s="79">
        <f>J10-J8-J7</f>
        <v>12309215</v>
      </c>
      <c r="K9" s="126">
        <f>K10-K8-K7</f>
        <v>13436957</v>
      </c>
    </row>
    <row r="10" spans="1:14" ht="18.75" customHeight="1">
      <c r="A10" s="122" t="s">
        <v>29</v>
      </c>
      <c r="B10" s="128">
        <v>11547838</v>
      </c>
      <c r="C10" s="128">
        <v>12083190</v>
      </c>
      <c r="D10" s="128">
        <v>14247782</v>
      </c>
      <c r="E10" s="128">
        <v>20564875</v>
      </c>
      <c r="F10" s="128">
        <v>19598249</v>
      </c>
      <c r="G10" s="128">
        <v>22498617</v>
      </c>
      <c r="H10" s="128">
        <v>19987671</v>
      </c>
      <c r="I10" s="128">
        <v>25172576</v>
      </c>
      <c r="J10" s="128">
        <v>28809015</v>
      </c>
      <c r="K10" s="129">
        <v>27962741</v>
      </c>
      <c r="N10" s="113"/>
    </row>
    <row r="11" spans="1:11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23"/>
    </row>
    <row r="12" spans="1:11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23"/>
    </row>
    <row r="13" spans="1:11" ht="15.75">
      <c r="A13" s="813" t="s">
        <v>55</v>
      </c>
      <c r="B13" s="813"/>
      <c r="C13" s="813"/>
      <c r="D13" s="813"/>
      <c r="E13" s="813"/>
      <c r="F13" s="813"/>
      <c r="G13" s="813"/>
      <c r="H13" s="813"/>
      <c r="I13" s="813"/>
      <c r="J13" s="813"/>
      <c r="K13" s="813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29"/>
    </row>
    <row r="15" spans="1:11" ht="18.75" customHeight="1">
      <c r="A15" s="858" t="s">
        <v>46</v>
      </c>
      <c r="B15" s="864" t="s">
        <v>50</v>
      </c>
      <c r="C15" s="865"/>
      <c r="D15" s="865"/>
      <c r="E15" s="865"/>
      <c r="F15" s="865"/>
      <c r="G15" s="865"/>
      <c r="H15" s="865"/>
      <c r="I15" s="865"/>
      <c r="J15" s="865"/>
      <c r="K15" s="866"/>
    </row>
    <row r="16" spans="1:11" ht="18.75" customHeight="1">
      <c r="A16" s="859"/>
      <c r="B16" s="7">
        <v>1998</v>
      </c>
      <c r="C16" s="7">
        <v>1999</v>
      </c>
      <c r="D16" s="7" t="s">
        <v>7</v>
      </c>
      <c r="E16" s="7" t="s">
        <v>8</v>
      </c>
      <c r="F16" s="7" t="s">
        <v>9</v>
      </c>
      <c r="G16" s="7" t="s">
        <v>47</v>
      </c>
      <c r="H16" s="7" t="s">
        <v>48</v>
      </c>
      <c r="I16" s="7" t="s">
        <v>49</v>
      </c>
      <c r="J16" s="7" t="s">
        <v>1</v>
      </c>
      <c r="K16" s="130" t="s">
        <v>10</v>
      </c>
    </row>
    <row r="17" spans="1:11" ht="18.75" customHeight="1">
      <c r="A17" s="131" t="s">
        <v>34</v>
      </c>
      <c r="B17" s="43">
        <f aca="true" t="shared" si="0" ref="B17:J17">B7/B$10</f>
        <v>0.36441799755071036</v>
      </c>
      <c r="C17" s="43">
        <f t="shared" si="0"/>
        <v>0.39540154545281503</v>
      </c>
      <c r="D17" s="43">
        <f t="shared" si="0"/>
        <v>0.34978370668501246</v>
      </c>
      <c r="E17" s="43">
        <f t="shared" si="0"/>
        <v>0.2833697749196141</v>
      </c>
      <c r="F17" s="43">
        <f t="shared" si="0"/>
        <v>0.36788914152483726</v>
      </c>
      <c r="G17" s="43">
        <f t="shared" si="0"/>
        <v>0.40281409297291476</v>
      </c>
      <c r="H17" s="43">
        <f t="shared" si="0"/>
        <v>0.46136495842862335</v>
      </c>
      <c r="I17" s="43">
        <f t="shared" si="0"/>
        <v>0.3970036678010228</v>
      </c>
      <c r="J17" s="43">
        <f t="shared" si="0"/>
        <v>0.36151756663669343</v>
      </c>
      <c r="K17" s="102">
        <f>K7/$K$10</f>
        <v>0.3847784092410683</v>
      </c>
    </row>
    <row r="18" spans="1:11" ht="18.75" customHeight="1">
      <c r="A18" s="109" t="s">
        <v>35</v>
      </c>
      <c r="B18" s="47">
        <f aca="true" t="shared" si="1" ref="B18:J18">B8/B$10</f>
        <v>0.21007932393925166</v>
      </c>
      <c r="C18" s="47">
        <f t="shared" si="1"/>
        <v>0.1489325252685756</v>
      </c>
      <c r="D18" s="47">
        <f t="shared" si="1"/>
        <v>0.1546591602819302</v>
      </c>
      <c r="E18" s="47">
        <f t="shared" si="1"/>
        <v>0.24928802144433165</v>
      </c>
      <c r="F18" s="47">
        <f t="shared" si="1"/>
        <v>0.15453742831821354</v>
      </c>
      <c r="G18" s="47">
        <f t="shared" si="1"/>
        <v>0.07881773355224457</v>
      </c>
      <c r="H18" s="47">
        <f t="shared" si="1"/>
        <v>0.13090429595324038</v>
      </c>
      <c r="I18" s="47">
        <f t="shared" si="1"/>
        <v>0.1696073933792076</v>
      </c>
      <c r="J18" s="47">
        <f t="shared" si="1"/>
        <v>0.21121287902415267</v>
      </c>
      <c r="K18" s="107">
        <f>K8/$K$10</f>
        <v>0.13469083735389173</v>
      </c>
    </row>
    <row r="19" spans="1:11" ht="18.75" customHeight="1">
      <c r="A19" s="132" t="s">
        <v>36</v>
      </c>
      <c r="B19" s="51">
        <f aca="true" t="shared" si="2" ref="B19:J19">B9/B$10</f>
        <v>0.425502678510038</v>
      </c>
      <c r="C19" s="51">
        <f t="shared" si="2"/>
        <v>0.4556659292786094</v>
      </c>
      <c r="D19" s="51">
        <f t="shared" si="2"/>
        <v>0.4955571330330574</v>
      </c>
      <c r="E19" s="51">
        <f t="shared" si="2"/>
        <v>0.4673422036360542</v>
      </c>
      <c r="F19" s="51">
        <f t="shared" si="2"/>
        <v>0.47757343015694925</v>
      </c>
      <c r="G19" s="51">
        <f t="shared" si="2"/>
        <v>0.5183681734748407</v>
      </c>
      <c r="H19" s="51">
        <f t="shared" si="2"/>
        <v>0.4077307456181363</v>
      </c>
      <c r="I19" s="51">
        <f t="shared" si="2"/>
        <v>0.4333889388197696</v>
      </c>
      <c r="J19" s="51">
        <f t="shared" si="2"/>
        <v>0.4272695543391539</v>
      </c>
      <c r="K19" s="108">
        <f>K9/$K$10</f>
        <v>0.4805307534050399</v>
      </c>
    </row>
    <row r="20" spans="1:11" ht="18.75" customHeight="1">
      <c r="A20" s="122" t="s">
        <v>37</v>
      </c>
      <c r="B20" s="103">
        <f>SUM(B17:B19)</f>
        <v>1</v>
      </c>
      <c r="C20" s="103">
        <f aca="true" t="shared" si="3" ref="C20:K20">SUM(C17:C19)</f>
        <v>1</v>
      </c>
      <c r="D20" s="103">
        <f t="shared" si="3"/>
        <v>1</v>
      </c>
      <c r="E20" s="103">
        <f t="shared" si="3"/>
        <v>1</v>
      </c>
      <c r="F20" s="103">
        <f t="shared" si="3"/>
        <v>1</v>
      </c>
      <c r="G20" s="103">
        <f t="shared" si="3"/>
        <v>1</v>
      </c>
      <c r="H20" s="103">
        <f t="shared" si="3"/>
        <v>1</v>
      </c>
      <c r="I20" s="103">
        <f t="shared" si="3"/>
        <v>1</v>
      </c>
      <c r="J20" s="103">
        <f t="shared" si="3"/>
        <v>1</v>
      </c>
      <c r="K20" s="104">
        <f t="shared" si="3"/>
        <v>1</v>
      </c>
    </row>
    <row r="21" spans="1:11" ht="18.75" customHeight="1">
      <c r="A21" s="38"/>
      <c r="B21" s="144"/>
      <c r="C21" s="144"/>
      <c r="D21" s="144"/>
      <c r="E21" s="144"/>
      <c r="F21" s="144"/>
      <c r="G21" s="144"/>
      <c r="H21" s="144"/>
      <c r="I21" s="144"/>
      <c r="J21" s="144"/>
      <c r="K21" s="144"/>
    </row>
    <row r="22" spans="1:10" ht="18.75" customHeight="1">
      <c r="A22" s="38"/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8.75" customHeight="1">
      <c r="A23" s="38"/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8.75" customHeight="1">
      <c r="A24" s="38"/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8.75" customHeight="1">
      <c r="A25" s="38"/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8.75" customHeight="1">
      <c r="A26" s="38"/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8.75" customHeight="1">
      <c r="A27" s="38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8.75" customHeight="1">
      <c r="A28" s="38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8.75" customHeight="1">
      <c r="A29" s="38"/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8.75" customHeight="1">
      <c r="A30" s="38"/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8.75" customHeight="1">
      <c r="A31" s="38"/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8.75" customHeight="1">
      <c r="A32" s="38"/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8.75" customHeight="1">
      <c r="A33" s="38"/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8.75" customHeight="1">
      <c r="A34" s="38"/>
      <c r="B34" s="55"/>
      <c r="C34" s="55"/>
      <c r="D34" s="55"/>
      <c r="E34" s="55"/>
      <c r="F34" s="55"/>
      <c r="G34" s="55"/>
      <c r="H34" s="55"/>
      <c r="I34" s="55"/>
      <c r="J34" s="55"/>
    </row>
    <row r="35" spans="1:10" ht="18.75" customHeight="1">
      <c r="A35" s="38"/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18.75" customHeight="1">
      <c r="A36" s="38"/>
      <c r="B36" s="55"/>
      <c r="C36" s="55"/>
      <c r="D36" s="55"/>
      <c r="E36" s="55"/>
      <c r="F36" s="55"/>
      <c r="G36" s="55"/>
      <c r="H36" s="55"/>
      <c r="I36" s="55"/>
      <c r="J36" s="55"/>
    </row>
    <row r="37" spans="1:10" ht="18.75" customHeight="1">
      <c r="A37" s="38"/>
      <c r="B37" s="55"/>
      <c r="C37" s="55"/>
      <c r="D37" s="55"/>
      <c r="E37" s="55"/>
      <c r="F37" s="55"/>
      <c r="G37" s="55"/>
      <c r="H37" s="55"/>
      <c r="I37" s="55"/>
      <c r="J37" s="55"/>
    </row>
    <row r="38" spans="1:10" ht="18.75" customHeight="1">
      <c r="A38" s="38"/>
      <c r="B38" s="55"/>
      <c r="C38" s="55"/>
      <c r="D38" s="55"/>
      <c r="E38" s="55"/>
      <c r="F38" s="55"/>
      <c r="G38" s="55"/>
      <c r="H38" s="55"/>
      <c r="I38" s="55"/>
      <c r="J38" s="55"/>
    </row>
    <row r="39" spans="1:10" ht="18.75" customHeight="1">
      <c r="A39" s="38"/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8.75" customHeight="1">
      <c r="A40" s="38"/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18.75" customHeight="1">
      <c r="A41" s="38"/>
      <c r="B41" s="55"/>
      <c r="C41" s="55"/>
      <c r="D41" s="55"/>
      <c r="E41" s="55"/>
      <c r="F41" s="55"/>
      <c r="G41" s="55"/>
      <c r="H41" s="55"/>
      <c r="I41" s="55"/>
      <c r="J41" s="55"/>
    </row>
    <row r="42" spans="1:10" ht="18.75" customHeight="1">
      <c r="A42" s="38"/>
      <c r="B42" s="55"/>
      <c r="C42" s="55"/>
      <c r="D42" s="55"/>
      <c r="E42" s="55"/>
      <c r="F42" s="55"/>
      <c r="G42" s="55"/>
      <c r="H42" s="55"/>
      <c r="I42" s="55"/>
      <c r="J42" s="55"/>
    </row>
    <row r="43" spans="1:10" ht="18.75" customHeight="1">
      <c r="A43" s="38"/>
      <c r="B43" s="55"/>
      <c r="C43" s="55"/>
      <c r="D43" s="55"/>
      <c r="E43" s="55"/>
      <c r="F43" s="55"/>
      <c r="G43" s="55"/>
      <c r="H43" s="55"/>
      <c r="I43" s="55"/>
      <c r="J43" s="55"/>
    </row>
    <row r="44" spans="1:10" ht="18.75" customHeight="1">
      <c r="A44" s="38"/>
      <c r="B44" s="55"/>
      <c r="C44" s="55"/>
      <c r="D44" s="55"/>
      <c r="E44" s="55"/>
      <c r="F44" s="55"/>
      <c r="G44" s="55"/>
      <c r="H44" s="55"/>
      <c r="I44" s="55"/>
      <c r="J44" s="55"/>
    </row>
    <row r="45" spans="1:10" ht="18.75" customHeight="1">
      <c r="A45" s="38"/>
      <c r="B45" s="55"/>
      <c r="C45" s="55"/>
      <c r="D45" s="55"/>
      <c r="E45" s="55"/>
      <c r="F45" s="55"/>
      <c r="G45" s="55"/>
      <c r="H45" s="55"/>
      <c r="I45" s="55"/>
      <c r="J45" s="55"/>
    </row>
    <row r="46" spans="1:11" ht="18.75" customHeight="1">
      <c r="A46" s="860" t="s">
        <v>56</v>
      </c>
      <c r="B46" s="860"/>
      <c r="C46" s="860"/>
      <c r="D46" s="860"/>
      <c r="E46" s="860"/>
      <c r="F46" s="860"/>
      <c r="G46" s="860"/>
      <c r="H46" s="860"/>
      <c r="I46" s="860"/>
      <c r="J46" s="860"/>
      <c r="K46" s="860"/>
    </row>
    <row r="47" spans="1:11" ht="18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8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0" ht="18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1" ht="21" customHeight="1">
      <c r="A50" s="19" t="s">
        <v>46</v>
      </c>
      <c r="B50" s="120">
        <v>1998</v>
      </c>
      <c r="C50" s="120">
        <v>1999</v>
      </c>
      <c r="D50" s="120" t="s">
        <v>7</v>
      </c>
      <c r="E50" s="120" t="s">
        <v>8</v>
      </c>
      <c r="F50" s="120" t="s">
        <v>9</v>
      </c>
      <c r="G50" s="120" t="s">
        <v>47</v>
      </c>
      <c r="H50" s="120" t="s">
        <v>48</v>
      </c>
      <c r="I50" s="120" t="s">
        <v>49</v>
      </c>
      <c r="J50" s="120" t="s">
        <v>1</v>
      </c>
      <c r="K50" s="121" t="s">
        <v>10</v>
      </c>
    </row>
    <row r="51" spans="1:11" ht="21" customHeight="1">
      <c r="A51" s="131" t="s">
        <v>17</v>
      </c>
      <c r="B51" s="32"/>
      <c r="C51" s="32"/>
      <c r="D51" s="32">
        <v>4984</v>
      </c>
      <c r="E51" s="32">
        <v>5827</v>
      </c>
      <c r="F51" s="32">
        <v>7210</v>
      </c>
      <c r="G51" s="32">
        <v>9063</v>
      </c>
      <c r="H51" s="32">
        <v>9222</v>
      </c>
      <c r="I51" s="32">
        <v>9994</v>
      </c>
      <c r="J51" s="31">
        <f>J7/1000</f>
        <v>10414.965</v>
      </c>
      <c r="K51" s="105">
        <f>K7/1000</f>
        <v>10759.459</v>
      </c>
    </row>
    <row r="52" spans="1:11" ht="21" customHeight="1">
      <c r="A52" s="133" t="s">
        <v>51</v>
      </c>
      <c r="B52" s="134"/>
      <c r="C52" s="134"/>
      <c r="D52" s="79">
        <v>6161</v>
      </c>
      <c r="E52" s="79">
        <v>6389</v>
      </c>
      <c r="F52" s="79">
        <v>7769</v>
      </c>
      <c r="G52" s="79">
        <v>9711</v>
      </c>
      <c r="H52" s="79">
        <v>10442</v>
      </c>
      <c r="I52" s="79">
        <v>11253</v>
      </c>
      <c r="J52" s="79">
        <v>11129</v>
      </c>
      <c r="K52" s="126">
        <f>7528-297+548+2859</f>
        <v>10638</v>
      </c>
    </row>
    <row r="53" spans="1:11" ht="21" customHeight="1">
      <c r="A53" s="127" t="s">
        <v>13</v>
      </c>
      <c r="B53" s="135"/>
      <c r="C53" s="135"/>
      <c r="D53" s="103">
        <f>SUM(D51/D52)</f>
        <v>0.8089595844830385</v>
      </c>
      <c r="E53" s="103">
        <f aca="true" t="shared" si="4" ref="E53:K53">SUM(E51/E52)</f>
        <v>0.912036312411958</v>
      </c>
      <c r="F53" s="103">
        <f t="shared" si="4"/>
        <v>0.9280473677435963</v>
      </c>
      <c r="G53" s="103">
        <f t="shared" si="4"/>
        <v>0.933271547729379</v>
      </c>
      <c r="H53" s="103">
        <f t="shared" si="4"/>
        <v>0.8831641447998467</v>
      </c>
      <c r="I53" s="103">
        <f t="shared" si="4"/>
        <v>0.88811872389585</v>
      </c>
      <c r="J53" s="103">
        <f t="shared" si="4"/>
        <v>0.935840147362746</v>
      </c>
      <c r="K53" s="104">
        <f t="shared" si="4"/>
        <v>1.0114174656890393</v>
      </c>
    </row>
    <row r="54" spans="1:11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23"/>
    </row>
    <row r="55" spans="1:11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23"/>
    </row>
    <row r="56" spans="1:11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23"/>
    </row>
    <row r="57" spans="1:11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23"/>
    </row>
    <row r="58" spans="1:11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23"/>
    </row>
    <row r="59" spans="1:11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23"/>
    </row>
    <row r="60" spans="1:11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23"/>
    </row>
    <row r="61" spans="1:11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23"/>
    </row>
    <row r="62" spans="1:11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23"/>
    </row>
    <row r="63" spans="1:11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23"/>
    </row>
    <row r="64" spans="1:11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23"/>
    </row>
    <row r="65" spans="1:11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23"/>
    </row>
    <row r="66" spans="1:11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23"/>
    </row>
    <row r="67" spans="1:11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23"/>
    </row>
    <row r="68" spans="1:11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23"/>
    </row>
    <row r="69" spans="1:11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23"/>
    </row>
    <row r="70" spans="1:11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23"/>
    </row>
    <row r="71" spans="1:11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23"/>
    </row>
    <row r="72" spans="1:11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23"/>
    </row>
    <row r="73" spans="1:11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23"/>
    </row>
    <row r="74" spans="1:11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23"/>
    </row>
    <row r="75" spans="1:11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23"/>
    </row>
    <row r="76" spans="1:11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23"/>
    </row>
    <row r="77" spans="1:11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23"/>
    </row>
    <row r="78" spans="1:11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23"/>
    </row>
    <row r="79" spans="1:11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23"/>
    </row>
    <row r="80" spans="1:11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23"/>
    </row>
    <row r="81" spans="1:11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23"/>
    </row>
    <row r="82" spans="1:11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23"/>
    </row>
    <row r="83" spans="1:11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23"/>
    </row>
    <row r="84" spans="1:11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23"/>
    </row>
    <row r="85" spans="1:11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23"/>
    </row>
    <row r="86" spans="1:11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23"/>
    </row>
    <row r="87" spans="1:11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23"/>
    </row>
    <row r="88" spans="1:11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23"/>
    </row>
    <row r="89" spans="1:11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23"/>
    </row>
    <row r="90" spans="1:11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23"/>
    </row>
    <row r="91" spans="1:11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23"/>
    </row>
    <row r="92" spans="1:11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23"/>
    </row>
    <row r="93" spans="1:11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23"/>
    </row>
    <row r="94" spans="1:11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23"/>
    </row>
    <row r="95" spans="1:11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23"/>
    </row>
    <row r="96" spans="1:11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23"/>
    </row>
    <row r="97" spans="1:11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23"/>
    </row>
    <row r="98" spans="1:11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23"/>
    </row>
    <row r="99" spans="1:11" ht="15.75">
      <c r="A99" s="813" t="s">
        <v>57</v>
      </c>
      <c r="B99" s="813"/>
      <c r="C99" s="813"/>
      <c r="D99" s="813"/>
      <c r="E99" s="813"/>
      <c r="F99" s="813"/>
      <c r="G99" s="813"/>
      <c r="H99" s="813"/>
      <c r="I99" s="813"/>
      <c r="J99" s="813"/>
      <c r="K99" s="813"/>
    </row>
    <row r="100" spans="1:1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156" t="s">
        <v>11</v>
      </c>
    </row>
    <row r="101" spans="1:11" ht="13.5" customHeight="1">
      <c r="A101" s="858" t="s">
        <v>46</v>
      </c>
      <c r="B101" s="864" t="s">
        <v>50</v>
      </c>
      <c r="C101" s="865"/>
      <c r="D101" s="865"/>
      <c r="E101" s="865"/>
      <c r="F101" s="865"/>
      <c r="G101" s="865"/>
      <c r="H101" s="865"/>
      <c r="I101" s="865"/>
      <c r="J101" s="865"/>
      <c r="K101" s="866"/>
    </row>
    <row r="102" spans="1:11" ht="13.5" customHeight="1">
      <c r="A102" s="859"/>
      <c r="B102" s="7">
        <v>1998</v>
      </c>
      <c r="C102" s="7">
        <v>1999</v>
      </c>
      <c r="D102" s="7" t="s">
        <v>7</v>
      </c>
      <c r="E102" s="7" t="s">
        <v>8</v>
      </c>
      <c r="F102" s="7" t="s">
        <v>9</v>
      </c>
      <c r="G102" s="7" t="s">
        <v>47</v>
      </c>
      <c r="H102" s="7" t="s">
        <v>48</v>
      </c>
      <c r="I102" s="7" t="s">
        <v>49</v>
      </c>
      <c r="J102" s="7" t="s">
        <v>1</v>
      </c>
      <c r="K102" s="130" t="s">
        <v>10</v>
      </c>
    </row>
    <row r="103" spans="1:11" ht="13.5" customHeight="1">
      <c r="A103" s="861" t="s">
        <v>38</v>
      </c>
      <c r="B103" s="862"/>
      <c r="C103" s="862"/>
      <c r="D103" s="862"/>
      <c r="E103" s="862"/>
      <c r="F103" s="862"/>
      <c r="G103" s="862"/>
      <c r="H103" s="862"/>
      <c r="I103" s="862"/>
      <c r="J103" s="862"/>
      <c r="K103" s="863"/>
    </row>
    <row r="104" spans="1:11" ht="13.5" customHeight="1">
      <c r="A104" s="109" t="s">
        <v>30</v>
      </c>
      <c r="B104" s="34"/>
      <c r="C104" s="34"/>
      <c r="D104" s="34">
        <v>4366171</v>
      </c>
      <c r="E104" s="34">
        <v>5006508</v>
      </c>
      <c r="F104" s="34">
        <v>6262165</v>
      </c>
      <c r="G104" s="34">
        <v>7940378</v>
      </c>
      <c r="H104" s="34">
        <v>8100557</v>
      </c>
      <c r="I104" s="34">
        <v>8702221</v>
      </c>
      <c r="J104" s="34">
        <v>9080532</v>
      </c>
      <c r="K104" s="35">
        <v>9055720</v>
      </c>
    </row>
    <row r="105" spans="1:11" ht="13.5" customHeight="1">
      <c r="A105" s="109" t="s">
        <v>31</v>
      </c>
      <c r="B105" s="34"/>
      <c r="C105" s="34"/>
      <c r="D105" s="34">
        <v>396936</v>
      </c>
      <c r="E105" s="34">
        <v>333327</v>
      </c>
      <c r="F105" s="34">
        <v>423093</v>
      </c>
      <c r="G105" s="34">
        <v>338858</v>
      </c>
      <c r="H105" s="34">
        <v>336738</v>
      </c>
      <c r="I105" s="34">
        <v>277090</v>
      </c>
      <c r="J105" s="34">
        <v>464522</v>
      </c>
      <c r="K105" s="35">
        <v>428457</v>
      </c>
    </row>
    <row r="106" spans="1:11" ht="13.5" customHeight="1">
      <c r="A106" s="132" t="s">
        <v>32</v>
      </c>
      <c r="B106" s="79"/>
      <c r="C106" s="79"/>
      <c r="D106" s="79">
        <v>2371052</v>
      </c>
      <c r="E106" s="79">
        <v>2858261</v>
      </c>
      <c r="F106" s="79">
        <v>2981394</v>
      </c>
      <c r="G106" s="79">
        <v>3198648</v>
      </c>
      <c r="H106" s="79">
        <v>3446249</v>
      </c>
      <c r="I106" s="79">
        <v>3564160</v>
      </c>
      <c r="J106" s="79">
        <f>J107-J105-J104</f>
        <v>3930166</v>
      </c>
      <c r="K106" s="126">
        <f>K107-K105-K104</f>
        <v>3852845</v>
      </c>
    </row>
    <row r="107" spans="1:11" ht="13.5" customHeight="1">
      <c r="A107" s="122" t="s">
        <v>33</v>
      </c>
      <c r="B107" s="123"/>
      <c r="C107" s="123"/>
      <c r="D107" s="128">
        <v>7134159</v>
      </c>
      <c r="E107" s="128">
        <v>8198096</v>
      </c>
      <c r="F107" s="128">
        <v>9666652</v>
      </c>
      <c r="G107" s="128">
        <v>11477884</v>
      </c>
      <c r="H107" s="128">
        <v>11883544</v>
      </c>
      <c r="I107" s="128">
        <v>12543471</v>
      </c>
      <c r="J107" s="128">
        <v>13475220</v>
      </c>
      <c r="K107" s="129">
        <v>13337022</v>
      </c>
    </row>
    <row r="108" ht="15.75" customHeight="1"/>
    <row r="109" spans="1:11" ht="15.75" customHeight="1">
      <c r="A109" s="827" t="s">
        <v>58</v>
      </c>
      <c r="B109" s="827"/>
      <c r="C109" s="827"/>
      <c r="D109" s="827"/>
      <c r="E109" s="827"/>
      <c r="F109" s="827"/>
      <c r="G109" s="827"/>
      <c r="H109" s="827"/>
      <c r="I109" s="827"/>
      <c r="J109" s="827"/>
      <c r="K109" s="827"/>
    </row>
    <row r="110" ht="15.75" customHeight="1">
      <c r="K110" s="156" t="s">
        <v>11</v>
      </c>
    </row>
    <row r="111" spans="1:11" ht="12.75" customHeight="1">
      <c r="A111" s="858" t="s">
        <v>46</v>
      </c>
      <c r="B111" s="864" t="s">
        <v>50</v>
      </c>
      <c r="C111" s="865"/>
      <c r="D111" s="865"/>
      <c r="E111" s="865"/>
      <c r="F111" s="865"/>
      <c r="G111" s="865"/>
      <c r="H111" s="865"/>
      <c r="I111" s="865"/>
      <c r="J111" s="865"/>
      <c r="K111" s="866"/>
    </row>
    <row r="112" spans="1:11" ht="12.75" customHeight="1">
      <c r="A112" s="859" t="s">
        <v>46</v>
      </c>
      <c r="B112" s="7">
        <v>1998</v>
      </c>
      <c r="C112" s="7">
        <v>1999</v>
      </c>
      <c r="D112" s="7" t="s">
        <v>7</v>
      </c>
      <c r="E112" s="7" t="s">
        <v>8</v>
      </c>
      <c r="F112" s="7" t="s">
        <v>9</v>
      </c>
      <c r="G112" s="7" t="s">
        <v>47</v>
      </c>
      <c r="H112" s="7" t="s">
        <v>48</v>
      </c>
      <c r="I112" s="7" t="s">
        <v>49</v>
      </c>
      <c r="J112" s="7" t="s">
        <v>1</v>
      </c>
      <c r="K112" s="130" t="s">
        <v>10</v>
      </c>
    </row>
    <row r="113" spans="1:11" ht="12.75" customHeight="1">
      <c r="A113" s="861" t="s">
        <v>38</v>
      </c>
      <c r="B113" s="862"/>
      <c r="C113" s="862"/>
      <c r="D113" s="862"/>
      <c r="E113" s="862"/>
      <c r="F113" s="862"/>
      <c r="G113" s="862"/>
      <c r="H113" s="862"/>
      <c r="I113" s="862"/>
      <c r="J113" s="862"/>
      <c r="K113" s="863"/>
    </row>
    <row r="114" spans="1:11" ht="12.75" customHeight="1">
      <c r="A114" s="109" t="s">
        <v>39</v>
      </c>
      <c r="B114" s="34"/>
      <c r="C114" s="34"/>
      <c r="D114" s="47">
        <f>D104/D$107</f>
        <v>0.6120092080930633</v>
      </c>
      <c r="E114" s="47">
        <f aca="true" t="shared" si="5" ref="E114:J114">E104/E$107</f>
        <v>0.6106915556978109</v>
      </c>
      <c r="F114" s="47">
        <f t="shared" si="5"/>
        <v>0.6478111552996839</v>
      </c>
      <c r="G114" s="47">
        <f t="shared" si="5"/>
        <v>0.6917980700972409</v>
      </c>
      <c r="H114" s="47">
        <f t="shared" si="5"/>
        <v>0.6816617164037934</v>
      </c>
      <c r="I114" s="47">
        <f t="shared" si="5"/>
        <v>0.6937649873786929</v>
      </c>
      <c r="J114" s="47">
        <f t="shared" si="5"/>
        <v>0.6738689238468833</v>
      </c>
      <c r="K114" s="107">
        <f>K104/K$107</f>
        <v>0.6789911570963892</v>
      </c>
    </row>
    <row r="115" spans="1:11" ht="12.75" customHeight="1">
      <c r="A115" s="109" t="s">
        <v>31</v>
      </c>
      <c r="B115" s="34"/>
      <c r="C115" s="34"/>
      <c r="D115" s="47">
        <f aca="true" t="shared" si="6" ref="D115:J116">D105/D$107</f>
        <v>0.055638793584499587</v>
      </c>
      <c r="E115" s="47">
        <f t="shared" si="6"/>
        <v>0.04065907498521608</v>
      </c>
      <c r="F115" s="47">
        <f t="shared" si="6"/>
        <v>0.04376830778639802</v>
      </c>
      <c r="G115" s="47">
        <f t="shared" si="6"/>
        <v>0.02952268902525936</v>
      </c>
      <c r="H115" s="47">
        <f t="shared" si="6"/>
        <v>0.028336496250613453</v>
      </c>
      <c r="I115" s="47">
        <f t="shared" si="6"/>
        <v>0.022090376738623622</v>
      </c>
      <c r="J115" s="47">
        <f t="shared" si="6"/>
        <v>0.03447231288246129</v>
      </c>
      <c r="K115" s="107">
        <f>K105/K$107</f>
        <v>0.03212538751154493</v>
      </c>
    </row>
    <row r="116" spans="1:11" ht="12.75" customHeight="1">
      <c r="A116" s="132" t="s">
        <v>32</v>
      </c>
      <c r="B116" s="79"/>
      <c r="C116" s="79"/>
      <c r="D116" s="51">
        <f t="shared" si="6"/>
        <v>0.33235199832243717</v>
      </c>
      <c r="E116" s="51">
        <f t="shared" si="6"/>
        <v>0.3486493693169731</v>
      </c>
      <c r="F116" s="51">
        <f t="shared" si="6"/>
        <v>0.3084205369139181</v>
      </c>
      <c r="G116" s="51">
        <f t="shared" si="6"/>
        <v>0.27867924087749973</v>
      </c>
      <c r="H116" s="51">
        <f t="shared" si="6"/>
        <v>0.2900017873455932</v>
      </c>
      <c r="I116" s="51">
        <f t="shared" si="6"/>
        <v>0.2841446358826835</v>
      </c>
      <c r="J116" s="51">
        <f t="shared" si="6"/>
        <v>0.2916587632706553</v>
      </c>
      <c r="K116" s="108">
        <f>K106/K$107</f>
        <v>0.2888834553920658</v>
      </c>
    </row>
    <row r="117" spans="1:11" ht="12.75" customHeight="1">
      <c r="A117" s="122" t="s">
        <v>33</v>
      </c>
      <c r="B117" s="128"/>
      <c r="C117" s="128"/>
      <c r="D117" s="103">
        <f>SUM(D114:D116)</f>
        <v>1</v>
      </c>
      <c r="E117" s="103">
        <f aca="true" t="shared" si="7" ref="E117:K117">SUM(E114:E116)</f>
        <v>1</v>
      </c>
      <c r="F117" s="103">
        <f t="shared" si="7"/>
        <v>1</v>
      </c>
      <c r="G117" s="103">
        <f t="shared" si="7"/>
        <v>1</v>
      </c>
      <c r="H117" s="103">
        <f t="shared" si="7"/>
        <v>1</v>
      </c>
      <c r="I117" s="103">
        <f t="shared" si="7"/>
        <v>1</v>
      </c>
      <c r="J117" s="103">
        <f t="shared" si="7"/>
        <v>1</v>
      </c>
      <c r="K117" s="104">
        <f t="shared" si="7"/>
        <v>1</v>
      </c>
    </row>
    <row r="118" spans="1:10" ht="12.75">
      <c r="A118" s="38"/>
      <c r="B118" s="85"/>
      <c r="C118" s="85"/>
      <c r="D118" s="85"/>
      <c r="E118" s="85"/>
      <c r="F118" s="85"/>
      <c r="G118" s="85"/>
      <c r="H118" s="85"/>
      <c r="I118" s="85"/>
      <c r="J118" s="85"/>
    </row>
    <row r="119" spans="1:11" ht="15.75">
      <c r="A119" s="860" t="s">
        <v>59</v>
      </c>
      <c r="B119" s="860"/>
      <c r="C119" s="860"/>
      <c r="D119" s="860"/>
      <c r="E119" s="860"/>
      <c r="F119" s="860"/>
      <c r="G119" s="860"/>
      <c r="H119" s="860"/>
      <c r="I119" s="860"/>
      <c r="J119" s="860"/>
      <c r="K119" s="860"/>
    </row>
    <row r="120" spans="1:11" ht="12.75">
      <c r="A120" s="38"/>
      <c r="B120" s="85"/>
      <c r="C120" s="85"/>
      <c r="D120" s="85"/>
      <c r="E120" s="85"/>
      <c r="F120" s="85"/>
      <c r="G120" s="85"/>
      <c r="H120" s="85"/>
      <c r="I120" s="85"/>
      <c r="J120" s="85"/>
      <c r="K120" s="156" t="s">
        <v>11</v>
      </c>
    </row>
    <row r="121" spans="1:11" ht="12.75">
      <c r="A121" s="858" t="s">
        <v>46</v>
      </c>
      <c r="B121" s="864" t="s">
        <v>50</v>
      </c>
      <c r="C121" s="865"/>
      <c r="D121" s="865"/>
      <c r="E121" s="865"/>
      <c r="F121" s="865"/>
      <c r="G121" s="865"/>
      <c r="H121" s="865"/>
      <c r="I121" s="865"/>
      <c r="J121" s="865"/>
      <c r="K121" s="866"/>
    </row>
    <row r="122" spans="1:11" ht="12.75">
      <c r="A122" s="859" t="s">
        <v>46</v>
      </c>
      <c r="B122" s="7">
        <v>1998</v>
      </c>
      <c r="C122" s="7">
        <v>1999</v>
      </c>
      <c r="D122" s="7" t="s">
        <v>7</v>
      </c>
      <c r="E122" s="7" t="s">
        <v>8</v>
      </c>
      <c r="F122" s="7" t="s">
        <v>9</v>
      </c>
      <c r="G122" s="7" t="s">
        <v>47</v>
      </c>
      <c r="H122" s="7" t="s">
        <v>48</v>
      </c>
      <c r="I122" s="7" t="s">
        <v>49</v>
      </c>
      <c r="J122" s="7" t="s">
        <v>1</v>
      </c>
      <c r="K122" s="130" t="s">
        <v>10</v>
      </c>
    </row>
    <row r="123" spans="1:11" ht="12.75">
      <c r="A123" s="861" t="s">
        <v>52</v>
      </c>
      <c r="B123" s="862"/>
      <c r="C123" s="862"/>
      <c r="D123" s="862"/>
      <c r="E123" s="862"/>
      <c r="F123" s="862"/>
      <c r="G123" s="862"/>
      <c r="H123" s="862"/>
      <c r="I123" s="862"/>
      <c r="J123" s="862"/>
      <c r="K123" s="863"/>
    </row>
    <row r="124" spans="1:11" ht="12.75">
      <c r="A124" s="109" t="s">
        <v>34</v>
      </c>
      <c r="B124" s="89"/>
      <c r="C124" s="89"/>
      <c r="D124" s="47">
        <f aca="true" t="shared" si="8" ref="D124:K124">D104/D7</f>
        <v>0.8761004502329822</v>
      </c>
      <c r="E124" s="47">
        <f t="shared" si="8"/>
        <v>0.8591229392408087</v>
      </c>
      <c r="F124" s="47">
        <f t="shared" si="8"/>
        <v>0.8685408828287112</v>
      </c>
      <c r="G124" s="47">
        <f t="shared" si="8"/>
        <v>0.8761545048086896</v>
      </c>
      <c r="H124" s="47">
        <f t="shared" si="8"/>
        <v>0.8784318705267442</v>
      </c>
      <c r="I124" s="47">
        <f t="shared" si="8"/>
        <v>0.8707789631469325</v>
      </c>
      <c r="J124" s="47">
        <f t="shared" si="8"/>
        <v>0.871873501255165</v>
      </c>
      <c r="K124" s="107">
        <f t="shared" si="8"/>
        <v>0.8416519826879771</v>
      </c>
    </row>
    <row r="125" spans="1:11" ht="12.75">
      <c r="A125" s="109" t="s">
        <v>35</v>
      </c>
      <c r="B125" s="89"/>
      <c r="C125" s="89"/>
      <c r="D125" s="47">
        <f aca="true" t="shared" si="9" ref="D125:K125">D105/D8</f>
        <v>0.18013478251004061</v>
      </c>
      <c r="E125" s="47">
        <f t="shared" si="9"/>
        <v>0.06501940768664939</v>
      </c>
      <c r="F125" s="47">
        <f t="shared" si="9"/>
        <v>0.13969629503183417</v>
      </c>
      <c r="G125" s="47">
        <f t="shared" si="9"/>
        <v>0.1910900078385374</v>
      </c>
      <c r="H125" s="47">
        <f t="shared" si="9"/>
        <v>0.1286992560975237</v>
      </c>
      <c r="I125" s="47">
        <f t="shared" si="9"/>
        <v>0.06490055522309053</v>
      </c>
      <c r="J125" s="47">
        <f t="shared" si="9"/>
        <v>0.07634093611412635</v>
      </c>
      <c r="K125" s="107">
        <f t="shared" si="9"/>
        <v>0.11375996495257314</v>
      </c>
    </row>
    <row r="126" spans="1:11" ht="12.75">
      <c r="A126" s="109" t="s">
        <v>36</v>
      </c>
      <c r="B126" s="89"/>
      <c r="C126" s="89"/>
      <c r="D126" s="47">
        <f aca="true" t="shared" si="10" ref="D126:K126">D106/D9</f>
        <v>0.33581499563067674</v>
      </c>
      <c r="E126" s="47">
        <f t="shared" si="10"/>
        <v>0.29739989266280115</v>
      </c>
      <c r="F126" s="47">
        <f t="shared" si="10"/>
        <v>0.3185385106611894</v>
      </c>
      <c r="G126" s="47">
        <f t="shared" si="10"/>
        <v>0.2742662057161172</v>
      </c>
      <c r="H126" s="47">
        <f t="shared" si="10"/>
        <v>0.4228740152262912</v>
      </c>
      <c r="I126" s="47">
        <f t="shared" si="10"/>
        <v>0.3267019361812201</v>
      </c>
      <c r="J126" s="47">
        <f t="shared" si="10"/>
        <v>0.319286485775088</v>
      </c>
      <c r="K126" s="107">
        <f t="shared" si="10"/>
        <v>0.2867349355959091</v>
      </c>
    </row>
    <row r="127" spans="1:11" ht="12.75">
      <c r="A127" s="110" t="s">
        <v>45</v>
      </c>
      <c r="B127" s="111"/>
      <c r="C127" s="111"/>
      <c r="D127" s="50">
        <f aca="true" t="shared" si="11" ref="D127:K127">D107/D10</f>
        <v>0.5007206735757187</v>
      </c>
      <c r="E127" s="50">
        <f t="shared" si="11"/>
        <v>0.39864555461679196</v>
      </c>
      <c r="F127" s="50">
        <f t="shared" si="11"/>
        <v>0.4932405951164311</v>
      </c>
      <c r="G127" s="50">
        <f t="shared" si="11"/>
        <v>0.5101595355838984</v>
      </c>
      <c r="H127" s="50">
        <f t="shared" si="11"/>
        <v>0.5945437064678522</v>
      </c>
      <c r="I127" s="50">
        <f t="shared" si="11"/>
        <v>0.49829906164549864</v>
      </c>
      <c r="J127" s="50">
        <f t="shared" si="11"/>
        <v>0.4677431699764813</v>
      </c>
      <c r="K127" s="106">
        <f t="shared" si="11"/>
        <v>0.4769568905995303</v>
      </c>
    </row>
    <row r="155" spans="1:11" ht="15.75">
      <c r="A155" s="860" t="s">
        <v>60</v>
      </c>
      <c r="B155" s="860"/>
      <c r="C155" s="860"/>
      <c r="D155" s="860"/>
      <c r="E155" s="860"/>
      <c r="F155" s="860"/>
      <c r="G155" s="860"/>
      <c r="H155" s="860"/>
      <c r="I155" s="860"/>
      <c r="J155" s="860"/>
      <c r="K155" s="860"/>
    </row>
    <row r="156" spans="1:11" ht="15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5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0" ht="15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1" ht="19.5" customHeight="1">
      <c r="A159" s="858" t="s">
        <v>46</v>
      </c>
      <c r="B159" s="864" t="s">
        <v>50</v>
      </c>
      <c r="C159" s="865"/>
      <c r="D159" s="865"/>
      <c r="E159" s="865"/>
      <c r="F159" s="865"/>
      <c r="G159" s="865"/>
      <c r="H159" s="865"/>
      <c r="I159" s="865"/>
      <c r="J159" s="865"/>
      <c r="K159" s="866"/>
    </row>
    <row r="160" spans="1:11" ht="19.5" customHeight="1">
      <c r="A160" s="859" t="s">
        <v>46</v>
      </c>
      <c r="B160" s="7">
        <v>1998</v>
      </c>
      <c r="C160" s="7">
        <v>1999</v>
      </c>
      <c r="D160" s="7" t="s">
        <v>7</v>
      </c>
      <c r="E160" s="7" t="s">
        <v>8</v>
      </c>
      <c r="F160" s="7" t="s">
        <v>9</v>
      </c>
      <c r="G160" s="7" t="s">
        <v>47</v>
      </c>
      <c r="H160" s="7" t="s">
        <v>48</v>
      </c>
      <c r="I160" s="7" t="s">
        <v>49</v>
      </c>
      <c r="J160" s="7" t="s">
        <v>1</v>
      </c>
      <c r="K160" s="130" t="s">
        <v>10</v>
      </c>
    </row>
    <row r="161" spans="1:11" ht="26.25" customHeight="1">
      <c r="A161" s="131" t="s">
        <v>39</v>
      </c>
      <c r="B161" s="32"/>
      <c r="C161" s="32"/>
      <c r="D161" s="32">
        <v>4366</v>
      </c>
      <c r="E161" s="32">
        <v>5007</v>
      </c>
      <c r="F161" s="32">
        <v>6262</v>
      </c>
      <c r="G161" s="32">
        <v>7940</v>
      </c>
      <c r="H161" s="32">
        <v>8101</v>
      </c>
      <c r="I161" s="32">
        <v>8702</v>
      </c>
      <c r="J161" s="32">
        <f>J104/1000</f>
        <v>9080.532</v>
      </c>
      <c r="K161" s="150">
        <f>K104/1000</f>
        <v>9055.72</v>
      </c>
    </row>
    <row r="162" spans="1:11" ht="26.25" customHeight="1">
      <c r="A162" s="133" t="s">
        <v>51</v>
      </c>
      <c r="B162" s="134"/>
      <c r="C162" s="134"/>
      <c r="D162" s="79">
        <v>6161</v>
      </c>
      <c r="E162" s="79">
        <v>6389</v>
      </c>
      <c r="F162" s="79">
        <v>7769</v>
      </c>
      <c r="G162" s="79">
        <v>9711</v>
      </c>
      <c r="H162" s="79">
        <v>10442</v>
      </c>
      <c r="I162" s="79">
        <v>11253</v>
      </c>
      <c r="J162" s="125">
        <f>J52</f>
        <v>11129</v>
      </c>
      <c r="K162" s="151">
        <f>K52</f>
        <v>10638</v>
      </c>
    </row>
    <row r="163" spans="1:11" ht="26.25" customHeight="1">
      <c r="A163" s="127" t="s">
        <v>13</v>
      </c>
      <c r="B163" s="135"/>
      <c r="C163" s="135"/>
      <c r="D163" s="103">
        <f aca="true" t="shared" si="12" ref="D163:K163">SUM(D161/D162)</f>
        <v>0.7086511929881513</v>
      </c>
      <c r="E163" s="103">
        <f t="shared" si="12"/>
        <v>0.7836907184222883</v>
      </c>
      <c r="F163" s="103">
        <f t="shared" si="12"/>
        <v>0.8060239413051873</v>
      </c>
      <c r="G163" s="103">
        <f t="shared" si="12"/>
        <v>0.8176294923282875</v>
      </c>
      <c r="H163" s="103">
        <f t="shared" si="12"/>
        <v>0.7758092319479027</v>
      </c>
      <c r="I163" s="103">
        <f t="shared" si="12"/>
        <v>0.7733048964720519</v>
      </c>
      <c r="J163" s="103">
        <f t="shared" si="12"/>
        <v>0.8159342258963069</v>
      </c>
      <c r="K163" s="104">
        <f t="shared" si="12"/>
        <v>0.851261515322429</v>
      </c>
    </row>
    <row r="169" spans="1:10" ht="12.75">
      <c r="A169" s="23"/>
      <c r="B169" s="23"/>
      <c r="C169" s="23"/>
      <c r="D169" s="55"/>
      <c r="E169" s="55"/>
      <c r="F169" s="55"/>
      <c r="G169" s="55"/>
      <c r="H169" s="55"/>
      <c r="I169" s="55"/>
      <c r="J169" s="55"/>
    </row>
    <row r="176" ht="12.75">
      <c r="I176" s="27" t="s">
        <v>0</v>
      </c>
    </row>
    <row r="213" ht="12.75">
      <c r="R213" s="27" t="s">
        <v>21</v>
      </c>
    </row>
    <row r="215" spans="14:25" ht="12.75">
      <c r="N215" s="8"/>
      <c r="O215" s="5">
        <v>1998</v>
      </c>
      <c r="P215" s="2">
        <v>1999</v>
      </c>
      <c r="Q215" s="2">
        <v>2000</v>
      </c>
      <c r="R215" s="2">
        <v>2001</v>
      </c>
      <c r="S215" s="2">
        <v>2002</v>
      </c>
      <c r="T215" s="2">
        <v>2003</v>
      </c>
      <c r="U215" s="2">
        <v>2004</v>
      </c>
      <c r="V215" s="9">
        <v>2005</v>
      </c>
      <c r="W215" s="19">
        <v>2006</v>
      </c>
      <c r="X215" s="20">
        <v>2007</v>
      </c>
      <c r="Y215" s="20" t="s">
        <v>3</v>
      </c>
    </row>
    <row r="216" spans="14:25" ht="12.75">
      <c r="N216" s="40" t="s">
        <v>26</v>
      </c>
      <c r="O216" s="30">
        <v>4208240</v>
      </c>
      <c r="P216" s="31">
        <v>4777712</v>
      </c>
      <c r="Q216" s="31">
        <v>4983642</v>
      </c>
      <c r="R216" s="31">
        <v>5827464</v>
      </c>
      <c r="S216" s="31">
        <v>7209983</v>
      </c>
      <c r="T216" s="31">
        <v>9062760</v>
      </c>
      <c r="U216" s="31">
        <v>9221611</v>
      </c>
      <c r="V216" s="31">
        <v>9993605</v>
      </c>
      <c r="W216" s="32">
        <f aca="true" t="shared" si="13" ref="W216:X218">J7</f>
        <v>10414965</v>
      </c>
      <c r="X216" s="93">
        <f t="shared" si="13"/>
        <v>10759459</v>
      </c>
      <c r="Y216" s="93" t="e">
        <f>#REF!</f>
        <v>#REF!</v>
      </c>
    </row>
    <row r="217" spans="14:25" ht="12.75">
      <c r="N217" s="45" t="s">
        <v>27</v>
      </c>
      <c r="O217" s="33">
        <v>2425962</v>
      </c>
      <c r="P217" s="34">
        <v>1799580</v>
      </c>
      <c r="Q217" s="34">
        <v>2203550</v>
      </c>
      <c r="R217" s="34">
        <v>5126577</v>
      </c>
      <c r="S217" s="34">
        <v>3028663</v>
      </c>
      <c r="T217" s="34">
        <v>1773290</v>
      </c>
      <c r="U217" s="34">
        <v>2616472</v>
      </c>
      <c r="V217" s="34">
        <v>4269455</v>
      </c>
      <c r="W217" s="32">
        <f t="shared" si="13"/>
        <v>6084835</v>
      </c>
      <c r="X217" s="93">
        <f t="shared" si="13"/>
        <v>3766325</v>
      </c>
      <c r="Y217" s="93" t="e">
        <f>#REF!</f>
        <v>#REF!</v>
      </c>
    </row>
    <row r="218" spans="14:25" ht="12.75">
      <c r="N218" s="48" t="s">
        <v>28</v>
      </c>
      <c r="O218" s="36">
        <v>4913636</v>
      </c>
      <c r="P218" s="37">
        <v>5505898</v>
      </c>
      <c r="Q218" s="37">
        <v>7060590</v>
      </c>
      <c r="R218" s="37">
        <v>9610834</v>
      </c>
      <c r="S218" s="37">
        <v>9359603</v>
      </c>
      <c r="T218" s="37">
        <v>11662567</v>
      </c>
      <c r="U218" s="37">
        <v>8149588</v>
      </c>
      <c r="V218" s="37">
        <v>10909516</v>
      </c>
      <c r="W218" s="32">
        <f t="shared" si="13"/>
        <v>12309215</v>
      </c>
      <c r="X218" s="93">
        <f t="shared" si="13"/>
        <v>13436957</v>
      </c>
      <c r="Y218" s="93" t="e">
        <f>#REF!</f>
        <v>#REF!</v>
      </c>
    </row>
    <row r="219" spans="14:25" ht="13.5" thickBot="1">
      <c r="N219" s="52" t="s">
        <v>29</v>
      </c>
      <c r="O219" s="98">
        <v>11547838</v>
      </c>
      <c r="P219" s="99">
        <v>12083190</v>
      </c>
      <c r="Q219" s="99">
        <v>14247782</v>
      </c>
      <c r="R219" s="99">
        <v>20564875</v>
      </c>
      <c r="S219" s="99">
        <v>19598249</v>
      </c>
      <c r="T219" s="99">
        <v>22498617</v>
      </c>
      <c r="U219" s="99">
        <v>19987671</v>
      </c>
      <c r="V219" s="99">
        <v>25172576</v>
      </c>
      <c r="W219" s="100">
        <v>24033232</v>
      </c>
      <c r="X219" s="101">
        <f>SUM(X216:X218)</f>
        <v>27962741</v>
      </c>
      <c r="Y219" s="101" t="e">
        <f>SUM(Y216:Y218)</f>
        <v>#REF!</v>
      </c>
    </row>
    <row r="220" spans="23:25" ht="13.5" thickTop="1">
      <c r="W220" s="27" t="s">
        <v>4</v>
      </c>
      <c r="Y220" s="27" t="s">
        <v>4</v>
      </c>
    </row>
    <row r="226" spans="14:24" ht="12.75">
      <c r="N226" s="27" t="s">
        <v>46</v>
      </c>
      <c r="O226" s="27" t="s">
        <v>25</v>
      </c>
      <c r="W226" s="27" t="s">
        <v>23</v>
      </c>
      <c r="X226" s="27" t="s">
        <v>23</v>
      </c>
    </row>
    <row r="227" spans="15:16" ht="12.75">
      <c r="O227" s="27">
        <v>1998</v>
      </c>
      <c r="P227" s="27">
        <v>1999</v>
      </c>
    </row>
    <row r="228" spans="14:25" ht="12.75">
      <c r="N228" s="113"/>
      <c r="O228" s="113"/>
      <c r="P228" s="113"/>
      <c r="Q228" s="27">
        <v>2000</v>
      </c>
      <c r="R228" s="27">
        <v>2001</v>
      </c>
      <c r="S228" s="27">
        <v>2002</v>
      </c>
      <c r="T228" s="27">
        <v>2003</v>
      </c>
      <c r="U228" s="27">
        <v>2004</v>
      </c>
      <c r="V228" s="27">
        <v>2005</v>
      </c>
      <c r="W228" s="27">
        <v>2006</v>
      </c>
      <c r="X228" s="27">
        <v>2007</v>
      </c>
      <c r="Y228" s="27" t="s">
        <v>3</v>
      </c>
    </row>
    <row r="229" spans="14:25" ht="12.75">
      <c r="N229" s="113" t="s">
        <v>30</v>
      </c>
      <c r="O229" s="113"/>
      <c r="P229" s="113"/>
      <c r="Q229" s="113">
        <v>4366171</v>
      </c>
      <c r="R229" s="113">
        <v>5006508</v>
      </c>
      <c r="S229" s="113">
        <v>6262165</v>
      </c>
      <c r="T229" s="113">
        <v>7940378</v>
      </c>
      <c r="U229" s="113">
        <v>8100557</v>
      </c>
      <c r="V229" s="113">
        <v>8702221</v>
      </c>
      <c r="W229" s="113">
        <f>J104</f>
        <v>9080532</v>
      </c>
      <c r="X229" s="113">
        <v>9201061</v>
      </c>
      <c r="Y229" s="113" t="e">
        <f>#REF!</f>
        <v>#REF!</v>
      </c>
    </row>
    <row r="230" spans="14:25" ht="12.75">
      <c r="N230" s="113" t="s">
        <v>31</v>
      </c>
      <c r="O230" s="113"/>
      <c r="P230" s="113"/>
      <c r="Q230" s="113">
        <v>396936</v>
      </c>
      <c r="R230" s="113">
        <v>333327</v>
      </c>
      <c r="S230" s="113">
        <v>423093</v>
      </c>
      <c r="T230" s="113">
        <v>338858</v>
      </c>
      <c r="U230" s="113">
        <v>336738</v>
      </c>
      <c r="V230" s="113">
        <v>277090</v>
      </c>
      <c r="W230" s="113">
        <f>J105</f>
        <v>464522</v>
      </c>
      <c r="X230" s="113">
        <v>62150</v>
      </c>
      <c r="Y230" s="113" t="e">
        <f>#REF!</f>
        <v>#REF!</v>
      </c>
    </row>
    <row r="231" spans="14:25" ht="12.75">
      <c r="N231" s="113" t="s">
        <v>32</v>
      </c>
      <c r="O231" s="113"/>
      <c r="P231" s="113"/>
      <c r="Q231" s="113">
        <v>2371052</v>
      </c>
      <c r="R231" s="113">
        <v>2858261</v>
      </c>
      <c r="S231" s="113">
        <v>2981394</v>
      </c>
      <c r="T231" s="113">
        <v>3198648</v>
      </c>
      <c r="U231" s="113">
        <v>3446249</v>
      </c>
      <c r="V231" s="113">
        <v>3564160</v>
      </c>
      <c r="W231" s="113">
        <f>J106</f>
        <v>3930166</v>
      </c>
      <c r="X231" s="113">
        <v>3235828</v>
      </c>
      <c r="Y231" s="113" t="e">
        <f>#REF!</f>
        <v>#REF!</v>
      </c>
    </row>
    <row r="232" spans="14:25" ht="12.75">
      <c r="N232" s="113" t="s">
        <v>33</v>
      </c>
      <c r="O232" s="113"/>
      <c r="P232" s="113"/>
      <c r="Q232" s="113">
        <v>7134159</v>
      </c>
      <c r="R232" s="113">
        <v>8198096</v>
      </c>
      <c r="S232" s="113">
        <v>9666652</v>
      </c>
      <c r="T232" s="113">
        <v>11477884</v>
      </c>
      <c r="U232" s="113">
        <v>11883544</v>
      </c>
      <c r="V232" s="113">
        <v>12543471</v>
      </c>
      <c r="W232" s="113">
        <v>12358169</v>
      </c>
      <c r="X232" s="113">
        <v>12025467</v>
      </c>
      <c r="Y232" s="113" t="e">
        <f>SUM(Y229:Y231)</f>
        <v>#REF!</v>
      </c>
    </row>
    <row r="233" spans="23:25" ht="12.75">
      <c r="W233" s="27" t="s">
        <v>4</v>
      </c>
      <c r="Y233" s="27" t="s">
        <v>4</v>
      </c>
    </row>
    <row r="239" ht="13.5" thickBot="1"/>
    <row r="240" spans="15:26" ht="13.5" thickTop="1">
      <c r="O240" s="10"/>
      <c r="R240" s="1">
        <v>2000</v>
      </c>
      <c r="S240" s="1">
        <v>2001</v>
      </c>
      <c r="T240" s="1">
        <v>2002</v>
      </c>
      <c r="U240" s="1">
        <v>2003</v>
      </c>
      <c r="V240" s="1">
        <v>2004</v>
      </c>
      <c r="W240" s="1">
        <v>2005</v>
      </c>
      <c r="X240" s="21">
        <v>2006</v>
      </c>
      <c r="Y240" s="18">
        <v>2007</v>
      </c>
      <c r="Z240" s="18" t="s">
        <v>3</v>
      </c>
    </row>
    <row r="241" spans="15:26" ht="12.75">
      <c r="O241" s="56" t="s">
        <v>17</v>
      </c>
      <c r="R241" s="32">
        <v>4984</v>
      </c>
      <c r="S241" s="32">
        <v>5827</v>
      </c>
      <c r="T241" s="32">
        <v>7210</v>
      </c>
      <c r="U241" s="32">
        <v>9063</v>
      </c>
      <c r="V241" s="32">
        <v>9222</v>
      </c>
      <c r="W241" s="32">
        <v>9994</v>
      </c>
      <c r="X241" s="32">
        <f>W216/1000</f>
        <v>10414.965</v>
      </c>
      <c r="Y241" s="93">
        <f>K51</f>
        <v>10759.459</v>
      </c>
      <c r="Z241" s="93" t="e">
        <f>Y216/1000</f>
        <v>#REF!</v>
      </c>
    </row>
    <row r="242" spans="15:26" ht="12.75">
      <c r="O242" s="58" t="s">
        <v>53</v>
      </c>
      <c r="R242" s="22">
        <v>6161</v>
      </c>
      <c r="S242" s="22">
        <v>6389</v>
      </c>
      <c r="T242" s="22">
        <v>7769</v>
      </c>
      <c r="U242" s="22">
        <v>9711</v>
      </c>
      <c r="V242" s="22">
        <v>10442</v>
      </c>
      <c r="W242" s="22">
        <v>11253</v>
      </c>
      <c r="X242" s="34">
        <f>J162</f>
        <v>11129</v>
      </c>
      <c r="Y242" s="60">
        <v>9374</v>
      </c>
      <c r="Z242" s="96" t="e">
        <f>#REF!</f>
        <v>#REF!</v>
      </c>
    </row>
    <row r="243" ht="12.75">
      <c r="X243" s="27" t="s">
        <v>4</v>
      </c>
    </row>
    <row r="247" ht="13.5" thickBot="1"/>
    <row r="248" spans="15:26" ht="13.5" thickTop="1">
      <c r="O248" s="16"/>
      <c r="R248" s="17">
        <v>2000</v>
      </c>
      <c r="S248" s="17">
        <v>2001</v>
      </c>
      <c r="T248" s="17">
        <v>2002</v>
      </c>
      <c r="U248" s="17">
        <v>2003</v>
      </c>
      <c r="V248" s="17">
        <v>2004</v>
      </c>
      <c r="W248" s="17">
        <v>2005</v>
      </c>
      <c r="X248" s="17">
        <v>2006</v>
      </c>
      <c r="Y248" s="18">
        <v>2007</v>
      </c>
      <c r="Z248" s="18" t="s">
        <v>3</v>
      </c>
    </row>
    <row r="249" spans="15:26" ht="12.75">
      <c r="O249" s="92" t="s">
        <v>15</v>
      </c>
      <c r="R249" s="32">
        <v>4366</v>
      </c>
      <c r="S249" s="32">
        <v>5007</v>
      </c>
      <c r="T249" s="32">
        <v>6262</v>
      </c>
      <c r="U249" s="32">
        <v>7940</v>
      </c>
      <c r="V249" s="32">
        <v>8101</v>
      </c>
      <c r="W249" s="32">
        <v>8702</v>
      </c>
      <c r="X249" s="32">
        <f>W229/1000</f>
        <v>9080.532</v>
      </c>
      <c r="Y249" s="93">
        <f>K161</f>
        <v>9055.72</v>
      </c>
      <c r="Z249" s="93" t="e">
        <f>Y229/1000</f>
        <v>#REF!</v>
      </c>
    </row>
    <row r="250" spans="15:26" ht="12.75">
      <c r="O250" s="94" t="s">
        <v>14</v>
      </c>
      <c r="R250" s="22">
        <v>6161</v>
      </c>
      <c r="S250" s="22">
        <v>6389</v>
      </c>
      <c r="T250" s="22">
        <v>7769</v>
      </c>
      <c r="U250" s="22">
        <v>9711</v>
      </c>
      <c r="V250" s="22">
        <v>10442</v>
      </c>
      <c r="W250" s="22">
        <v>11253</v>
      </c>
      <c r="X250" s="34">
        <f>X242</f>
        <v>11129</v>
      </c>
      <c r="Y250" s="60">
        <v>9374</v>
      </c>
      <c r="Z250" s="96" t="e">
        <f>Z242</f>
        <v>#REF!</v>
      </c>
    </row>
    <row r="251" ht="12.75">
      <c r="Z251" s="27" t="s">
        <v>4</v>
      </c>
    </row>
  </sheetData>
  <mergeCells count="22">
    <mergeCell ref="A2:K2"/>
    <mergeCell ref="A13:K13"/>
    <mergeCell ref="A5:A6"/>
    <mergeCell ref="A101:A102"/>
    <mergeCell ref="A15:A16"/>
    <mergeCell ref="A46:K46"/>
    <mergeCell ref="D5:K5"/>
    <mergeCell ref="B15:K15"/>
    <mergeCell ref="B101:K101"/>
    <mergeCell ref="A99:K99"/>
    <mergeCell ref="A103:K103"/>
    <mergeCell ref="A111:A112"/>
    <mergeCell ref="A113:K113"/>
    <mergeCell ref="B121:K121"/>
    <mergeCell ref="A121:A122"/>
    <mergeCell ref="B111:K111"/>
    <mergeCell ref="A109:K109"/>
    <mergeCell ref="A119:K119"/>
    <mergeCell ref="A159:A160"/>
    <mergeCell ref="A155:K155"/>
    <mergeCell ref="A123:K123"/>
    <mergeCell ref="B159:K159"/>
  </mergeCells>
  <printOptions horizontalCentered="1"/>
  <pageMargins left="0.29" right="0.23" top="0.65" bottom="0.35" header="0.39" footer="0.32"/>
  <pageSetup horizontalDpi="600" verticalDpi="600" orientation="landscape" paperSize="9" scale="70" r:id="rId2"/>
  <rowBreaks count="1" manualBreakCount="1">
    <brk id="152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2:K227"/>
  <sheetViews>
    <sheetView workbookViewId="0" topLeftCell="A1">
      <selection activeCell="B9" sqref="B9"/>
    </sheetView>
  </sheetViews>
  <sheetFormatPr defaultColWidth="9.140625" defaultRowHeight="12.75"/>
  <cols>
    <col min="1" max="1" width="26.7109375" style="27" customWidth="1"/>
    <col min="2" max="9" width="12.57421875" style="27" customWidth="1"/>
    <col min="10" max="10" width="12.421875" style="27" hidden="1" customWidth="1"/>
    <col min="11" max="16384" width="9.140625" style="27" customWidth="1"/>
  </cols>
  <sheetData>
    <row r="2" spans="1:10" ht="18.75">
      <c r="A2" s="28"/>
      <c r="B2" s="28"/>
      <c r="C2" s="28"/>
      <c r="D2" s="28"/>
      <c r="E2" s="28"/>
      <c r="F2" s="28"/>
      <c r="G2" s="28"/>
      <c r="H2" s="28"/>
      <c r="I2" s="114"/>
      <c r="J2" s="28"/>
    </row>
    <row r="3" spans="1:10" ht="15.75">
      <c r="A3" s="827" t="s">
        <v>61</v>
      </c>
      <c r="B3" s="827"/>
      <c r="C3" s="827"/>
      <c r="D3" s="827"/>
      <c r="E3" s="827"/>
      <c r="F3" s="827"/>
      <c r="G3" s="827"/>
      <c r="H3" s="827"/>
      <c r="I3" s="827"/>
      <c r="J3" s="827"/>
    </row>
    <row r="4" spans="1:10" ht="15.75">
      <c r="A4" s="24"/>
      <c r="B4" s="24"/>
      <c r="C4" s="24"/>
      <c r="D4" s="24"/>
      <c r="E4" s="24"/>
      <c r="F4" s="24"/>
      <c r="G4" s="24"/>
      <c r="H4" s="24"/>
      <c r="I4" s="24"/>
      <c r="J4" s="115"/>
    </row>
    <row r="5" spans="1:10" ht="15.75">
      <c r="A5" s="24"/>
      <c r="B5" s="24"/>
      <c r="C5" s="24"/>
      <c r="D5" s="24"/>
      <c r="E5" s="24"/>
      <c r="F5" s="24"/>
      <c r="G5" s="24"/>
      <c r="H5" s="24"/>
      <c r="I5" s="24"/>
      <c r="J5" s="115"/>
    </row>
    <row r="6" ht="12.75">
      <c r="J6" s="29" t="s">
        <v>11</v>
      </c>
    </row>
    <row r="7" spans="1:10" ht="18" customHeight="1">
      <c r="A7" s="858" t="s">
        <v>46</v>
      </c>
      <c r="B7" s="864" t="s">
        <v>25</v>
      </c>
      <c r="C7" s="865"/>
      <c r="D7" s="865"/>
      <c r="E7" s="865"/>
      <c r="F7" s="865"/>
      <c r="G7" s="865"/>
      <c r="H7" s="865"/>
      <c r="I7" s="866"/>
      <c r="J7" s="145" t="s">
        <v>23</v>
      </c>
    </row>
    <row r="8" spans="1:10" ht="18" customHeight="1">
      <c r="A8" s="859"/>
      <c r="B8" s="7" t="s">
        <v>7</v>
      </c>
      <c r="C8" s="7" t="s">
        <v>8</v>
      </c>
      <c r="D8" s="7" t="s">
        <v>9</v>
      </c>
      <c r="E8" s="7" t="s">
        <v>47</v>
      </c>
      <c r="F8" s="7" t="s">
        <v>48</v>
      </c>
      <c r="G8" s="7" t="s">
        <v>49</v>
      </c>
      <c r="H8" s="138" t="s">
        <v>1</v>
      </c>
      <c r="I8" s="130" t="s">
        <v>10</v>
      </c>
      <c r="J8" s="146" t="s">
        <v>2</v>
      </c>
    </row>
    <row r="9" spans="1:10" ht="24" customHeight="1">
      <c r="A9" s="131" t="s">
        <v>26</v>
      </c>
      <c r="B9" s="32">
        <f aca="true" t="shared" si="0" ref="B9:G11">D18-D52</f>
        <v>617471</v>
      </c>
      <c r="C9" s="32">
        <f t="shared" si="0"/>
        <v>820956</v>
      </c>
      <c r="D9" s="32">
        <f t="shared" si="0"/>
        <v>947818</v>
      </c>
      <c r="E9" s="32">
        <f t="shared" si="0"/>
        <v>1122382</v>
      </c>
      <c r="F9" s="32">
        <f t="shared" si="0"/>
        <v>1121054</v>
      </c>
      <c r="G9" s="32">
        <f t="shared" si="0"/>
        <v>1291384</v>
      </c>
      <c r="H9" s="139">
        <v>1328150</v>
      </c>
      <c r="I9" s="143">
        <v>1406903</v>
      </c>
      <c r="J9" s="152">
        <v>1425226</v>
      </c>
    </row>
    <row r="10" spans="1:10" ht="24" customHeight="1">
      <c r="A10" s="109" t="s">
        <v>27</v>
      </c>
      <c r="B10" s="34">
        <f t="shared" si="0"/>
        <v>1806614</v>
      </c>
      <c r="C10" s="34">
        <f t="shared" si="0"/>
        <v>4793250</v>
      </c>
      <c r="D10" s="34">
        <f t="shared" si="0"/>
        <v>2605570</v>
      </c>
      <c r="E10" s="34">
        <f t="shared" si="0"/>
        <v>1434432</v>
      </c>
      <c r="F10" s="34">
        <f t="shared" si="0"/>
        <v>2279734</v>
      </c>
      <c r="G10" s="34">
        <f t="shared" si="0"/>
        <v>3992365</v>
      </c>
      <c r="H10" s="140">
        <v>5571478</v>
      </c>
      <c r="I10" s="116">
        <v>3337583</v>
      </c>
      <c r="J10" s="153">
        <f>2713793+100000</f>
        <v>2813793</v>
      </c>
    </row>
    <row r="11" spans="1:10" ht="24" customHeight="1">
      <c r="A11" s="132" t="s">
        <v>28</v>
      </c>
      <c r="B11" s="79">
        <f t="shared" si="0"/>
        <v>4689538</v>
      </c>
      <c r="C11" s="79">
        <f t="shared" si="0"/>
        <v>6752573</v>
      </c>
      <c r="D11" s="79">
        <f t="shared" si="0"/>
        <v>6378209</v>
      </c>
      <c r="E11" s="79">
        <f t="shared" si="0"/>
        <v>8463919</v>
      </c>
      <c r="F11" s="79">
        <f t="shared" si="0"/>
        <v>4703339</v>
      </c>
      <c r="G11" s="79">
        <f t="shared" si="0"/>
        <v>7345356</v>
      </c>
      <c r="H11" s="141">
        <f>H12-H10-H9</f>
        <v>5608342</v>
      </c>
      <c r="I11" s="708">
        <f>I12-I10-I9</f>
        <v>9868799</v>
      </c>
      <c r="J11" s="154">
        <f>J12-J10-J9</f>
        <v>4211068</v>
      </c>
    </row>
    <row r="12" spans="1:10" ht="24" customHeight="1">
      <c r="A12" s="122" t="s">
        <v>29</v>
      </c>
      <c r="B12" s="128">
        <f aca="true" t="shared" si="1" ref="B12:G12">SUM(B9:B11)</f>
        <v>7113623</v>
      </c>
      <c r="C12" s="128">
        <f t="shared" si="1"/>
        <v>12366779</v>
      </c>
      <c r="D12" s="128">
        <f t="shared" si="1"/>
        <v>9931597</v>
      </c>
      <c r="E12" s="128">
        <f t="shared" si="1"/>
        <v>11020733</v>
      </c>
      <c r="F12" s="128">
        <f t="shared" si="1"/>
        <v>8104127</v>
      </c>
      <c r="G12" s="128">
        <f t="shared" si="1"/>
        <v>12629105</v>
      </c>
      <c r="H12" s="142">
        <v>12507970</v>
      </c>
      <c r="I12" s="709">
        <v>14613285</v>
      </c>
      <c r="J12" s="149">
        <f>8350087+100000</f>
        <v>8450087</v>
      </c>
    </row>
    <row r="13" ht="12.75">
      <c r="J13" s="29"/>
    </row>
    <row r="14" ht="12.75" hidden="1">
      <c r="J14" s="29"/>
    </row>
    <row r="15" ht="13.5" hidden="1" thickBot="1">
      <c r="J15" s="29"/>
    </row>
    <row r="16" spans="1:10" ht="18.75" customHeight="1" hidden="1" thickTop="1">
      <c r="A16" s="869" t="s">
        <v>25</v>
      </c>
      <c r="B16" s="870"/>
      <c r="C16" s="870"/>
      <c r="D16" s="870"/>
      <c r="E16" s="870"/>
      <c r="F16" s="870"/>
      <c r="G16" s="870"/>
      <c r="H16" s="870"/>
      <c r="I16" s="872"/>
      <c r="J16" s="4" t="s">
        <v>23</v>
      </c>
    </row>
    <row r="17" spans="1:10" ht="18.75" customHeight="1" hidden="1">
      <c r="A17" s="8" t="s">
        <v>46</v>
      </c>
      <c r="B17" s="5">
        <v>1998</v>
      </c>
      <c r="C17" s="2">
        <v>1999</v>
      </c>
      <c r="D17" s="2">
        <v>2000</v>
      </c>
      <c r="E17" s="2">
        <v>2001</v>
      </c>
      <c r="F17" s="2">
        <v>2002</v>
      </c>
      <c r="G17" s="2">
        <v>2003</v>
      </c>
      <c r="H17" s="2">
        <v>2004</v>
      </c>
      <c r="I17" s="9">
        <v>2005</v>
      </c>
      <c r="J17" s="6">
        <v>2006</v>
      </c>
    </row>
    <row r="18" spans="1:10" ht="18.75" customHeight="1" hidden="1">
      <c r="A18" s="40" t="s">
        <v>26</v>
      </c>
      <c r="B18" s="30">
        <v>4208240</v>
      </c>
      <c r="C18" s="31">
        <v>4777712</v>
      </c>
      <c r="D18" s="31">
        <v>4983642</v>
      </c>
      <c r="E18" s="31">
        <v>5827464</v>
      </c>
      <c r="F18" s="31">
        <v>7209983</v>
      </c>
      <c r="G18" s="31">
        <v>9062760</v>
      </c>
      <c r="H18" s="31">
        <v>9221611</v>
      </c>
      <c r="I18" s="31">
        <v>9993605</v>
      </c>
      <c r="J18" s="93">
        <v>10181257</v>
      </c>
    </row>
    <row r="19" spans="1:10" ht="18.75" customHeight="1" hidden="1">
      <c r="A19" s="45" t="s">
        <v>27</v>
      </c>
      <c r="B19" s="33">
        <v>2425962</v>
      </c>
      <c r="C19" s="34">
        <v>1799580</v>
      </c>
      <c r="D19" s="34">
        <v>2203550</v>
      </c>
      <c r="E19" s="34">
        <v>5126577</v>
      </c>
      <c r="F19" s="34">
        <v>3028663</v>
      </c>
      <c r="G19" s="34">
        <v>1773290</v>
      </c>
      <c r="H19" s="34">
        <v>2616472</v>
      </c>
      <c r="I19" s="34">
        <v>4269455</v>
      </c>
      <c r="J19" s="96">
        <v>6770434</v>
      </c>
    </row>
    <row r="20" spans="1:10" ht="18.75" customHeight="1" hidden="1">
      <c r="A20" s="48" t="s">
        <v>28</v>
      </c>
      <c r="B20" s="36">
        <v>4913636</v>
      </c>
      <c r="C20" s="37">
        <v>5505898</v>
      </c>
      <c r="D20" s="37">
        <v>7060590</v>
      </c>
      <c r="E20" s="37">
        <v>9610834</v>
      </c>
      <c r="F20" s="37">
        <v>9359603</v>
      </c>
      <c r="G20" s="37">
        <v>11662567</v>
      </c>
      <c r="H20" s="37">
        <v>8149588</v>
      </c>
      <c r="I20" s="37">
        <v>10909516</v>
      </c>
      <c r="J20" s="97">
        <v>7081541</v>
      </c>
    </row>
    <row r="21" spans="1:10" ht="18.75" customHeight="1" hidden="1" thickBot="1">
      <c r="A21" s="52" t="s">
        <v>29</v>
      </c>
      <c r="B21" s="98">
        <v>11547838</v>
      </c>
      <c r="C21" s="99">
        <v>12083190</v>
      </c>
      <c r="D21" s="99">
        <v>14247782</v>
      </c>
      <c r="E21" s="99">
        <v>20564875</v>
      </c>
      <c r="F21" s="99">
        <v>19598249</v>
      </c>
      <c r="G21" s="99">
        <v>22498617</v>
      </c>
      <c r="H21" s="99">
        <v>19987671</v>
      </c>
      <c r="I21" s="99">
        <v>25172576</v>
      </c>
      <c r="J21" s="75">
        <v>24033232</v>
      </c>
    </row>
    <row r="22" spans="1:11" ht="13.5" hidden="1" thickTop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23"/>
    </row>
    <row r="23" spans="1:11" ht="12.75" hidden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23"/>
    </row>
    <row r="24" spans="1:11" ht="12.75" hidden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23"/>
    </row>
    <row r="25" spans="1:10" ht="15.75" hidden="1">
      <c r="A25" s="813" t="s">
        <v>40</v>
      </c>
      <c r="B25" s="813"/>
      <c r="C25" s="813"/>
      <c r="D25" s="813"/>
      <c r="E25" s="813"/>
      <c r="F25" s="813"/>
      <c r="G25" s="813"/>
      <c r="H25" s="813"/>
      <c r="I25" s="813"/>
      <c r="J25" s="813"/>
    </row>
    <row r="26" spans="1:10" ht="15.75" hidden="1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3.5" hidden="1" thickBot="1">
      <c r="A27" s="38"/>
      <c r="B27" s="38"/>
      <c r="C27" s="38"/>
      <c r="D27" s="38"/>
      <c r="E27" s="38"/>
      <c r="F27" s="38"/>
      <c r="G27" s="38"/>
      <c r="H27" s="38"/>
      <c r="I27" s="38"/>
      <c r="J27" s="29" t="s">
        <v>24</v>
      </c>
    </row>
    <row r="28" spans="1:10" ht="18.75" customHeight="1" hidden="1" thickTop="1">
      <c r="A28" s="869" t="s">
        <v>25</v>
      </c>
      <c r="B28" s="870"/>
      <c r="C28" s="870"/>
      <c r="D28" s="870"/>
      <c r="E28" s="870"/>
      <c r="F28" s="870"/>
      <c r="G28" s="870"/>
      <c r="H28" s="870"/>
      <c r="I28" s="870"/>
      <c r="J28" s="4" t="s">
        <v>23</v>
      </c>
    </row>
    <row r="29" spans="1:10" ht="18.75" customHeight="1" hidden="1">
      <c r="A29" s="8" t="s">
        <v>46</v>
      </c>
      <c r="B29" s="5">
        <v>1998</v>
      </c>
      <c r="C29" s="2">
        <v>1999</v>
      </c>
      <c r="D29" s="2">
        <v>2000</v>
      </c>
      <c r="E29" s="2">
        <v>2001</v>
      </c>
      <c r="F29" s="2">
        <v>2002</v>
      </c>
      <c r="G29" s="2">
        <v>2003</v>
      </c>
      <c r="H29" s="2">
        <v>2004</v>
      </c>
      <c r="I29" s="2">
        <v>2005</v>
      </c>
      <c r="J29" s="6">
        <v>2006</v>
      </c>
    </row>
    <row r="30" spans="1:10" ht="18.75" customHeight="1" hidden="1">
      <c r="A30" s="40" t="s">
        <v>34</v>
      </c>
      <c r="B30" s="41">
        <f aca="true" t="shared" si="2" ref="B30:J30">B18/B$21</f>
        <v>0.36441799755071036</v>
      </c>
      <c r="C30" s="42">
        <f t="shared" si="2"/>
        <v>0.39540154545281503</v>
      </c>
      <c r="D30" s="42">
        <f t="shared" si="2"/>
        <v>0.34978370668501246</v>
      </c>
      <c r="E30" s="42">
        <f t="shared" si="2"/>
        <v>0.2833697749196141</v>
      </c>
      <c r="F30" s="42">
        <f t="shared" si="2"/>
        <v>0.36788914152483726</v>
      </c>
      <c r="G30" s="42">
        <f t="shared" si="2"/>
        <v>0.40281409297291476</v>
      </c>
      <c r="H30" s="42">
        <f t="shared" si="2"/>
        <v>0.46136495842862335</v>
      </c>
      <c r="I30" s="42">
        <f t="shared" si="2"/>
        <v>0.3970036678010228</v>
      </c>
      <c r="J30" s="44">
        <f t="shared" si="2"/>
        <v>0.4236324519315588</v>
      </c>
    </row>
    <row r="31" spans="1:10" ht="18.75" customHeight="1" hidden="1">
      <c r="A31" s="45" t="s">
        <v>35</v>
      </c>
      <c r="B31" s="46">
        <f aca="true" t="shared" si="3" ref="B31:J31">B19/B$21</f>
        <v>0.21007932393925166</v>
      </c>
      <c r="C31" s="47">
        <f t="shared" si="3"/>
        <v>0.1489325252685756</v>
      </c>
      <c r="D31" s="47">
        <f t="shared" si="3"/>
        <v>0.1546591602819302</v>
      </c>
      <c r="E31" s="47">
        <f t="shared" si="3"/>
        <v>0.24928802144433165</v>
      </c>
      <c r="F31" s="47">
        <f t="shared" si="3"/>
        <v>0.15453742831821354</v>
      </c>
      <c r="G31" s="47">
        <f t="shared" si="3"/>
        <v>0.07881773355224457</v>
      </c>
      <c r="H31" s="47">
        <f t="shared" si="3"/>
        <v>0.13090429595324038</v>
      </c>
      <c r="I31" s="47">
        <f t="shared" si="3"/>
        <v>0.1696073933792076</v>
      </c>
      <c r="J31" s="76">
        <f t="shared" si="3"/>
        <v>0.2817113403640426</v>
      </c>
    </row>
    <row r="32" spans="1:10" ht="18.75" customHeight="1" hidden="1">
      <c r="A32" s="48" t="s">
        <v>36</v>
      </c>
      <c r="B32" s="49">
        <f aca="true" t="shared" si="4" ref="B32:J32">B20/B$21</f>
        <v>0.425502678510038</v>
      </c>
      <c r="C32" s="50">
        <f t="shared" si="4"/>
        <v>0.4556659292786094</v>
      </c>
      <c r="D32" s="50">
        <f t="shared" si="4"/>
        <v>0.4955571330330574</v>
      </c>
      <c r="E32" s="50">
        <f t="shared" si="4"/>
        <v>0.4673422036360542</v>
      </c>
      <c r="F32" s="50">
        <f t="shared" si="4"/>
        <v>0.47757343015694925</v>
      </c>
      <c r="G32" s="50">
        <f t="shared" si="4"/>
        <v>0.5183681734748407</v>
      </c>
      <c r="H32" s="50">
        <f t="shared" si="4"/>
        <v>0.4077307456181363</v>
      </c>
      <c r="I32" s="50">
        <f t="shared" si="4"/>
        <v>0.4333889388197696</v>
      </c>
      <c r="J32" s="112">
        <f t="shared" si="4"/>
        <v>0.29465620770439865</v>
      </c>
    </row>
    <row r="33" spans="1:10" ht="18.75" customHeight="1" hidden="1" thickBot="1">
      <c r="A33" s="52" t="s">
        <v>37</v>
      </c>
      <c r="B33" s="53">
        <f aca="true" t="shared" si="5" ref="B33:J33">SUM(B30:B32)</f>
        <v>1</v>
      </c>
      <c r="C33" s="54">
        <f t="shared" si="5"/>
        <v>1</v>
      </c>
      <c r="D33" s="54">
        <f t="shared" si="5"/>
        <v>1</v>
      </c>
      <c r="E33" s="54">
        <f t="shared" si="5"/>
        <v>1</v>
      </c>
      <c r="F33" s="54">
        <f t="shared" si="5"/>
        <v>1</v>
      </c>
      <c r="G33" s="54">
        <f t="shared" si="5"/>
        <v>1</v>
      </c>
      <c r="H33" s="54">
        <f t="shared" si="5"/>
        <v>1</v>
      </c>
      <c r="I33" s="54">
        <f t="shared" si="5"/>
        <v>1</v>
      </c>
      <c r="J33" s="117">
        <f t="shared" si="5"/>
        <v>1</v>
      </c>
    </row>
    <row r="34" spans="1:10" ht="18.75" customHeight="1" hidden="1" thickTop="1">
      <c r="A34" s="38"/>
      <c r="B34" s="55"/>
      <c r="C34" s="55"/>
      <c r="D34" s="55"/>
      <c r="E34" s="55"/>
      <c r="F34" s="55"/>
      <c r="G34" s="55"/>
      <c r="H34" s="55"/>
      <c r="I34" s="55"/>
      <c r="J34" s="55"/>
    </row>
    <row r="35" spans="1:10" ht="18.75" customHeight="1" hidden="1">
      <c r="A35" s="38"/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18.75" customHeight="1" hidden="1">
      <c r="A36" s="38"/>
      <c r="B36" s="55"/>
      <c r="C36" s="55"/>
      <c r="D36" s="55"/>
      <c r="E36" s="55"/>
      <c r="F36" s="55"/>
      <c r="G36" s="55"/>
      <c r="H36" s="55"/>
      <c r="I36" s="55"/>
      <c r="J36" s="55"/>
    </row>
    <row r="37" spans="1:10" ht="18.75" customHeight="1" hidden="1">
      <c r="A37" s="860" t="s">
        <v>16</v>
      </c>
      <c r="B37" s="860"/>
      <c r="C37" s="860"/>
      <c r="D37" s="860"/>
      <c r="E37" s="860"/>
      <c r="F37" s="860"/>
      <c r="G37" s="860"/>
      <c r="H37" s="860"/>
      <c r="I37" s="860"/>
      <c r="J37" s="860"/>
    </row>
    <row r="38" spans="1:10" ht="18.75" customHeight="1" hidden="1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8.75" customHeight="1" hidden="1" thickBot="1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8.75" customHeight="1" hidden="1" thickTop="1">
      <c r="A40" s="10" t="s">
        <v>46</v>
      </c>
      <c r="B40" s="3">
        <v>1998</v>
      </c>
      <c r="C40" s="1">
        <v>1999</v>
      </c>
      <c r="D40" s="1">
        <v>2000</v>
      </c>
      <c r="E40" s="1">
        <v>2001</v>
      </c>
      <c r="F40" s="1">
        <v>2002</v>
      </c>
      <c r="G40" s="1">
        <v>2003</v>
      </c>
      <c r="H40" s="1">
        <v>2004</v>
      </c>
      <c r="I40" s="1">
        <v>2005</v>
      </c>
      <c r="J40" s="11">
        <v>2006</v>
      </c>
    </row>
    <row r="41" spans="1:10" ht="18.75" customHeight="1" hidden="1">
      <c r="A41" s="56" t="s">
        <v>17</v>
      </c>
      <c r="B41" s="57"/>
      <c r="C41" s="32"/>
      <c r="D41" s="32">
        <v>4984</v>
      </c>
      <c r="E41" s="32">
        <v>5827</v>
      </c>
      <c r="F41" s="32">
        <v>7210</v>
      </c>
      <c r="G41" s="32">
        <v>9063</v>
      </c>
      <c r="H41" s="32">
        <v>9222</v>
      </c>
      <c r="I41" s="32">
        <v>9994</v>
      </c>
      <c r="J41" s="93">
        <v>10181</v>
      </c>
    </row>
    <row r="42" spans="1:10" ht="18.75" customHeight="1" hidden="1">
      <c r="A42" s="58" t="s">
        <v>14</v>
      </c>
      <c r="B42" s="59"/>
      <c r="C42" s="22"/>
      <c r="D42" s="22">
        <v>6161</v>
      </c>
      <c r="E42" s="22">
        <v>6389</v>
      </c>
      <c r="F42" s="22">
        <v>7769</v>
      </c>
      <c r="G42" s="22">
        <v>9711</v>
      </c>
      <c r="H42" s="22">
        <v>10442</v>
      </c>
      <c r="I42" s="22">
        <v>11253</v>
      </c>
      <c r="J42" s="60">
        <v>9719</v>
      </c>
    </row>
    <row r="43" spans="1:10" ht="18.75" customHeight="1" hidden="1" thickBot="1">
      <c r="A43" s="61" t="s">
        <v>13</v>
      </c>
      <c r="B43" s="62"/>
      <c r="C43" s="63"/>
      <c r="D43" s="64">
        <f aca="true" t="shared" si="6" ref="D43:J43">SUM(D41/D42)</f>
        <v>0.8089595844830385</v>
      </c>
      <c r="E43" s="64">
        <f t="shared" si="6"/>
        <v>0.912036312411958</v>
      </c>
      <c r="F43" s="64">
        <f t="shared" si="6"/>
        <v>0.9280473677435963</v>
      </c>
      <c r="G43" s="64">
        <f t="shared" si="6"/>
        <v>0.933271547729379</v>
      </c>
      <c r="H43" s="64">
        <f t="shared" si="6"/>
        <v>0.8831641447998467</v>
      </c>
      <c r="I43" s="64">
        <f t="shared" si="6"/>
        <v>0.88811872389585</v>
      </c>
      <c r="J43" s="65">
        <f t="shared" si="6"/>
        <v>1.0475357547072743</v>
      </c>
    </row>
    <row r="44" spans="1:11" ht="13.5" hidden="1" thickTop="1">
      <c r="A44" s="38"/>
      <c r="B44" s="38"/>
      <c r="C44" s="38"/>
      <c r="D44" s="38"/>
      <c r="E44" s="38"/>
      <c r="F44" s="38"/>
      <c r="G44" s="38"/>
      <c r="H44" s="38"/>
      <c r="I44" s="38"/>
      <c r="J44" s="38" t="s">
        <v>19</v>
      </c>
      <c r="K44" s="23"/>
    </row>
    <row r="45" spans="1:11" ht="12.75" hidden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23"/>
    </row>
    <row r="46" spans="1:10" ht="16.5" hidden="1">
      <c r="A46" s="871" t="s">
        <v>43</v>
      </c>
      <c r="B46" s="871"/>
      <c r="C46" s="871"/>
      <c r="D46" s="871"/>
      <c r="E46" s="871"/>
      <c r="F46" s="871"/>
      <c r="G46" s="871"/>
      <c r="H46" s="871"/>
      <c r="I46" s="871"/>
      <c r="J46" s="871"/>
    </row>
    <row r="47" spans="1:10" ht="16.5" hidden="1">
      <c r="A47" s="66"/>
      <c r="B47" s="66"/>
      <c r="C47" s="66"/>
      <c r="D47" s="66"/>
      <c r="E47" s="66"/>
      <c r="F47" s="66"/>
      <c r="G47" s="66"/>
      <c r="H47" s="66"/>
      <c r="I47" s="66"/>
      <c r="J47" s="66"/>
    </row>
    <row r="48" spans="1:11" ht="13.5" hidden="1" thickBo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23"/>
    </row>
    <row r="49" spans="1:10" ht="13.5" customHeight="1" hidden="1" thickTop="1">
      <c r="A49" s="869" t="s">
        <v>25</v>
      </c>
      <c r="B49" s="870"/>
      <c r="C49" s="870"/>
      <c r="D49" s="870"/>
      <c r="E49" s="870"/>
      <c r="F49" s="870"/>
      <c r="G49" s="870"/>
      <c r="H49" s="870"/>
      <c r="I49" s="870"/>
      <c r="J49" s="12" t="s">
        <v>23</v>
      </c>
    </row>
    <row r="50" spans="1:10" ht="13.5" customHeight="1" hidden="1">
      <c r="A50" s="8" t="s">
        <v>46</v>
      </c>
      <c r="B50" s="5">
        <v>1998</v>
      </c>
      <c r="C50" s="2">
        <v>1999</v>
      </c>
      <c r="D50" s="2">
        <v>2000</v>
      </c>
      <c r="E50" s="2">
        <v>2001</v>
      </c>
      <c r="F50" s="2">
        <v>2002</v>
      </c>
      <c r="G50" s="2">
        <v>2003</v>
      </c>
      <c r="H50" s="2">
        <v>2004</v>
      </c>
      <c r="I50" s="2">
        <v>2005</v>
      </c>
      <c r="J50" s="13">
        <v>2006</v>
      </c>
    </row>
    <row r="51" spans="1:10" ht="13.5" customHeight="1" hidden="1">
      <c r="A51" s="67" t="s">
        <v>38</v>
      </c>
      <c r="B51" s="68"/>
      <c r="C51" s="69"/>
      <c r="D51" s="69"/>
      <c r="E51" s="69"/>
      <c r="F51" s="69"/>
      <c r="G51" s="69"/>
      <c r="H51" s="69"/>
      <c r="I51" s="69"/>
      <c r="J51" s="118"/>
    </row>
    <row r="52" spans="1:10" ht="13.5" customHeight="1" hidden="1">
      <c r="A52" s="70" t="s">
        <v>30</v>
      </c>
      <c r="B52" s="33"/>
      <c r="C52" s="34"/>
      <c r="D52" s="34">
        <v>4366171</v>
      </c>
      <c r="E52" s="34">
        <v>5006508</v>
      </c>
      <c r="F52" s="34">
        <v>6262165</v>
      </c>
      <c r="G52" s="34">
        <v>7940378</v>
      </c>
      <c r="H52" s="34">
        <v>8100557</v>
      </c>
      <c r="I52" s="34">
        <v>8702221</v>
      </c>
      <c r="J52" s="96">
        <v>8891562</v>
      </c>
    </row>
    <row r="53" spans="1:10" ht="13.5" customHeight="1" hidden="1">
      <c r="A53" s="45" t="s">
        <v>31</v>
      </c>
      <c r="B53" s="33"/>
      <c r="C53" s="34"/>
      <c r="D53" s="34">
        <v>396936</v>
      </c>
      <c r="E53" s="34">
        <v>333327</v>
      </c>
      <c r="F53" s="34">
        <v>423093</v>
      </c>
      <c r="G53" s="34">
        <v>338858</v>
      </c>
      <c r="H53" s="34">
        <v>336738</v>
      </c>
      <c r="I53" s="34">
        <v>277090</v>
      </c>
      <c r="J53" s="96">
        <v>190939</v>
      </c>
    </row>
    <row r="54" spans="1:10" ht="13.5" customHeight="1" hidden="1">
      <c r="A54" s="71" t="s">
        <v>32</v>
      </c>
      <c r="B54" s="36"/>
      <c r="C54" s="37"/>
      <c r="D54" s="37">
        <v>2371052</v>
      </c>
      <c r="E54" s="37">
        <v>2858261</v>
      </c>
      <c r="F54" s="37">
        <v>2981394</v>
      </c>
      <c r="G54" s="37">
        <v>3198648</v>
      </c>
      <c r="H54" s="37">
        <v>3446249</v>
      </c>
      <c r="I54" s="37">
        <v>3564160</v>
      </c>
      <c r="J54" s="97">
        <v>3275668</v>
      </c>
    </row>
    <row r="55" spans="1:10" ht="13.5" customHeight="1" hidden="1" thickBot="1">
      <c r="A55" s="52" t="s">
        <v>33</v>
      </c>
      <c r="B55" s="72"/>
      <c r="C55" s="73"/>
      <c r="D55" s="74">
        <v>7134159</v>
      </c>
      <c r="E55" s="74">
        <v>8198096</v>
      </c>
      <c r="F55" s="74">
        <v>9666652</v>
      </c>
      <c r="G55" s="74">
        <v>11477884</v>
      </c>
      <c r="H55" s="74">
        <v>11883544</v>
      </c>
      <c r="I55" s="74">
        <v>12543471</v>
      </c>
      <c r="J55" s="101">
        <v>12358169</v>
      </c>
    </row>
    <row r="56" ht="15.75" customHeight="1" hidden="1" thickTop="1"/>
    <row r="57" ht="15.75" customHeight="1" hidden="1"/>
    <row r="58" spans="1:10" ht="15.75" customHeight="1" hidden="1">
      <c r="A58" s="875" t="s">
        <v>42</v>
      </c>
      <c r="B58" s="875"/>
      <c r="C58" s="875"/>
      <c r="D58" s="875"/>
      <c r="E58" s="875"/>
      <c r="F58" s="875"/>
      <c r="G58" s="875"/>
      <c r="H58" s="875"/>
      <c r="I58" s="875"/>
      <c r="J58" s="875"/>
    </row>
    <row r="59" spans="1:10" ht="15.75" customHeight="1" hidden="1">
      <c r="A59" s="26"/>
      <c r="B59" s="26"/>
      <c r="C59" s="26"/>
      <c r="D59" s="26"/>
      <c r="E59" s="26"/>
      <c r="F59" s="26"/>
      <c r="G59" s="26"/>
      <c r="H59" s="26"/>
      <c r="I59" s="26"/>
      <c r="J59" s="26"/>
    </row>
    <row r="60" ht="15.75" customHeight="1" hidden="1" thickBot="1"/>
    <row r="61" spans="1:10" ht="12.75" customHeight="1" hidden="1" thickTop="1">
      <c r="A61" s="869" t="s">
        <v>25</v>
      </c>
      <c r="B61" s="870"/>
      <c r="C61" s="870"/>
      <c r="D61" s="870"/>
      <c r="E61" s="870"/>
      <c r="F61" s="870"/>
      <c r="G61" s="870"/>
      <c r="H61" s="870"/>
      <c r="I61" s="870"/>
      <c r="J61" s="4" t="s">
        <v>23</v>
      </c>
    </row>
    <row r="62" spans="1:10" ht="12.75" customHeight="1" hidden="1">
      <c r="A62" s="8" t="s">
        <v>46</v>
      </c>
      <c r="B62" s="5">
        <v>1998</v>
      </c>
      <c r="C62" s="2">
        <v>1999</v>
      </c>
      <c r="D62" s="2">
        <v>2000</v>
      </c>
      <c r="E62" s="2">
        <v>2001</v>
      </c>
      <c r="F62" s="2">
        <v>2002</v>
      </c>
      <c r="G62" s="2">
        <v>2003</v>
      </c>
      <c r="H62" s="2">
        <v>2004</v>
      </c>
      <c r="I62" s="2">
        <v>2005</v>
      </c>
      <c r="J62" s="13">
        <v>2006</v>
      </c>
    </row>
    <row r="63" spans="1:10" ht="12.75" customHeight="1" hidden="1">
      <c r="A63" s="67" t="s">
        <v>38</v>
      </c>
      <c r="B63" s="68"/>
      <c r="C63" s="69"/>
      <c r="D63" s="69"/>
      <c r="E63" s="69"/>
      <c r="F63" s="69"/>
      <c r="G63" s="69"/>
      <c r="H63" s="69"/>
      <c r="I63" s="69"/>
      <c r="J63" s="118"/>
    </row>
    <row r="64" spans="1:10" ht="12.75" customHeight="1" hidden="1">
      <c r="A64" s="70" t="s">
        <v>39</v>
      </c>
      <c r="B64" s="33"/>
      <c r="C64" s="34"/>
      <c r="D64" s="47">
        <f aca="true" t="shared" si="7" ref="D64:J66">D52/D$55</f>
        <v>0.6120092080930633</v>
      </c>
      <c r="E64" s="47">
        <f t="shared" si="7"/>
        <v>0.6106915556978109</v>
      </c>
      <c r="F64" s="47">
        <f t="shared" si="7"/>
        <v>0.6478111552996839</v>
      </c>
      <c r="G64" s="47">
        <f t="shared" si="7"/>
        <v>0.6917980700972409</v>
      </c>
      <c r="H64" s="47">
        <f t="shared" si="7"/>
        <v>0.6816617164037934</v>
      </c>
      <c r="I64" s="47">
        <f t="shared" si="7"/>
        <v>0.6937649873786929</v>
      </c>
      <c r="J64" s="76">
        <f t="shared" si="7"/>
        <v>0.7194886232742084</v>
      </c>
    </row>
    <row r="65" spans="1:10" ht="12.75" customHeight="1" hidden="1">
      <c r="A65" s="45" t="s">
        <v>31</v>
      </c>
      <c r="B65" s="33"/>
      <c r="C65" s="34"/>
      <c r="D65" s="47">
        <f t="shared" si="7"/>
        <v>0.055638793584499587</v>
      </c>
      <c r="E65" s="47">
        <f t="shared" si="7"/>
        <v>0.04065907498521608</v>
      </c>
      <c r="F65" s="47">
        <f t="shared" si="7"/>
        <v>0.04376830778639802</v>
      </c>
      <c r="G65" s="47">
        <f t="shared" si="7"/>
        <v>0.02952268902525936</v>
      </c>
      <c r="H65" s="47">
        <f t="shared" si="7"/>
        <v>0.028336496250613453</v>
      </c>
      <c r="I65" s="47">
        <f t="shared" si="7"/>
        <v>0.022090376738623622</v>
      </c>
      <c r="J65" s="76">
        <f t="shared" si="7"/>
        <v>0.01545042797197546</v>
      </c>
    </row>
    <row r="66" spans="1:10" ht="12.75" customHeight="1" hidden="1">
      <c r="A66" s="77" t="s">
        <v>32</v>
      </c>
      <c r="B66" s="78"/>
      <c r="C66" s="79"/>
      <c r="D66" s="51">
        <f t="shared" si="7"/>
        <v>0.33235199832243717</v>
      </c>
      <c r="E66" s="51">
        <f t="shared" si="7"/>
        <v>0.3486493693169731</v>
      </c>
      <c r="F66" s="51">
        <f t="shared" si="7"/>
        <v>0.3084205369139181</v>
      </c>
      <c r="G66" s="51">
        <f t="shared" si="7"/>
        <v>0.27867924087749973</v>
      </c>
      <c r="H66" s="51">
        <f t="shared" si="7"/>
        <v>0.2900017873455932</v>
      </c>
      <c r="I66" s="51">
        <f t="shared" si="7"/>
        <v>0.2841446358826835</v>
      </c>
      <c r="J66" s="80">
        <f t="shared" si="7"/>
        <v>0.2650609487538162</v>
      </c>
    </row>
    <row r="67" spans="1:10" ht="12.75" customHeight="1" hidden="1" thickBot="1">
      <c r="A67" s="81" t="s">
        <v>33</v>
      </c>
      <c r="B67" s="82"/>
      <c r="C67" s="83"/>
      <c r="D67" s="84">
        <f aca="true" t="shared" si="8" ref="D67:J67">SUM(D64:D66)</f>
        <v>1</v>
      </c>
      <c r="E67" s="84">
        <f t="shared" si="8"/>
        <v>1</v>
      </c>
      <c r="F67" s="84">
        <f t="shared" si="8"/>
        <v>1</v>
      </c>
      <c r="G67" s="84">
        <f t="shared" si="8"/>
        <v>1</v>
      </c>
      <c r="H67" s="84">
        <f t="shared" si="8"/>
        <v>1</v>
      </c>
      <c r="I67" s="84">
        <f t="shared" si="8"/>
        <v>1</v>
      </c>
      <c r="J67" s="119">
        <f t="shared" si="8"/>
        <v>1</v>
      </c>
    </row>
    <row r="68" spans="1:10" ht="13.5" hidden="1" thickTop="1">
      <c r="A68" s="38"/>
      <c r="B68" s="85"/>
      <c r="C68" s="85"/>
      <c r="D68" s="85"/>
      <c r="E68" s="85"/>
      <c r="F68" s="85"/>
      <c r="G68" s="85"/>
      <c r="H68" s="85"/>
      <c r="I68" s="85"/>
      <c r="J68" s="85"/>
    </row>
    <row r="69" spans="1:10" ht="12.75" hidden="1">
      <c r="A69" s="38"/>
      <c r="B69" s="85"/>
      <c r="C69" s="85"/>
      <c r="D69" s="85"/>
      <c r="E69" s="85"/>
      <c r="F69" s="85"/>
      <c r="G69" s="85"/>
      <c r="H69" s="85"/>
      <c r="I69" s="85"/>
      <c r="J69" s="85"/>
    </row>
    <row r="70" spans="1:10" ht="16.5" hidden="1">
      <c r="A70" s="876" t="s">
        <v>41</v>
      </c>
      <c r="B70" s="876"/>
      <c r="C70" s="876"/>
      <c r="D70" s="876"/>
      <c r="E70" s="876"/>
      <c r="F70" s="876"/>
      <c r="G70" s="876"/>
      <c r="H70" s="876"/>
      <c r="I70" s="876"/>
      <c r="J70" s="876"/>
    </row>
    <row r="71" spans="1:10" ht="12.75" hidden="1">
      <c r="A71" s="38"/>
      <c r="B71" s="85"/>
      <c r="C71" s="85"/>
      <c r="D71" s="85"/>
      <c r="E71" s="85"/>
      <c r="F71" s="85"/>
      <c r="G71" s="85"/>
      <c r="H71" s="85"/>
      <c r="I71" s="85"/>
      <c r="J71" s="85"/>
    </row>
    <row r="72" spans="1:10" ht="13.5" hidden="1" thickBot="1">
      <c r="A72" s="38"/>
      <c r="B72" s="85"/>
      <c r="C72" s="85"/>
      <c r="D72" s="85"/>
      <c r="E72" s="85"/>
      <c r="F72" s="85"/>
      <c r="G72" s="85"/>
      <c r="H72" s="85"/>
      <c r="I72" s="85"/>
      <c r="J72" s="85"/>
    </row>
    <row r="73" spans="1:10" ht="13.5" hidden="1" thickTop="1">
      <c r="A73" s="869" t="s">
        <v>25</v>
      </c>
      <c r="B73" s="870"/>
      <c r="C73" s="870"/>
      <c r="D73" s="870"/>
      <c r="E73" s="870"/>
      <c r="F73" s="870"/>
      <c r="G73" s="870"/>
      <c r="H73" s="870"/>
      <c r="I73" s="870"/>
      <c r="J73" s="14" t="s">
        <v>23</v>
      </c>
    </row>
    <row r="74" spans="1:10" ht="12.75" hidden="1">
      <c r="A74" s="8" t="s">
        <v>20</v>
      </c>
      <c r="B74" s="2">
        <v>1998</v>
      </c>
      <c r="C74" s="2">
        <v>1999</v>
      </c>
      <c r="D74" s="2">
        <v>2000</v>
      </c>
      <c r="E74" s="2">
        <v>2001</v>
      </c>
      <c r="F74" s="2">
        <v>2002</v>
      </c>
      <c r="G74" s="2">
        <v>2003</v>
      </c>
      <c r="H74" s="2">
        <v>2004</v>
      </c>
      <c r="I74" s="2">
        <v>2005</v>
      </c>
      <c r="J74" s="15">
        <v>2006</v>
      </c>
    </row>
    <row r="75" spans="1:10" ht="12.75" hidden="1">
      <c r="A75" s="873" t="s">
        <v>44</v>
      </c>
      <c r="B75" s="874"/>
      <c r="C75" s="86"/>
      <c r="D75" s="86"/>
      <c r="E75" s="86"/>
      <c r="F75" s="86"/>
      <c r="G75" s="86"/>
      <c r="H75" s="86"/>
      <c r="I75" s="86"/>
      <c r="J75" s="87"/>
    </row>
    <row r="76" spans="1:10" ht="12.75" hidden="1">
      <c r="A76" s="88" t="s">
        <v>34</v>
      </c>
      <c r="B76" s="89"/>
      <c r="C76" s="89"/>
      <c r="D76" s="47">
        <f aca="true" t="shared" si="9" ref="D76:J79">D52/D18</f>
        <v>0.8761004502329822</v>
      </c>
      <c r="E76" s="47">
        <f t="shared" si="9"/>
        <v>0.8591229392408087</v>
      </c>
      <c r="F76" s="47">
        <f t="shared" si="9"/>
        <v>0.8685408828287112</v>
      </c>
      <c r="G76" s="47">
        <f t="shared" si="9"/>
        <v>0.8761545048086896</v>
      </c>
      <c r="H76" s="47">
        <f t="shared" si="9"/>
        <v>0.8784318705267442</v>
      </c>
      <c r="I76" s="47">
        <f t="shared" si="9"/>
        <v>0.8707789631469325</v>
      </c>
      <c r="J76" s="76">
        <f t="shared" si="9"/>
        <v>0.8733265450425227</v>
      </c>
    </row>
    <row r="77" spans="1:10" ht="12.75" hidden="1">
      <c r="A77" s="88" t="s">
        <v>35</v>
      </c>
      <c r="B77" s="89"/>
      <c r="C77" s="89"/>
      <c r="D77" s="47">
        <f t="shared" si="9"/>
        <v>0.18013478251004061</v>
      </c>
      <c r="E77" s="47">
        <f t="shared" si="9"/>
        <v>0.06501940768664939</v>
      </c>
      <c r="F77" s="47">
        <f t="shared" si="9"/>
        <v>0.13969629503183417</v>
      </c>
      <c r="G77" s="47">
        <f t="shared" si="9"/>
        <v>0.1910900078385374</v>
      </c>
      <c r="H77" s="47">
        <f t="shared" si="9"/>
        <v>0.1286992560975237</v>
      </c>
      <c r="I77" s="47">
        <f t="shared" si="9"/>
        <v>0.06490055522309053</v>
      </c>
      <c r="J77" s="76">
        <f t="shared" si="9"/>
        <v>0.02820188484224202</v>
      </c>
    </row>
    <row r="78" spans="1:10" ht="12.75" hidden="1">
      <c r="A78" s="88" t="s">
        <v>36</v>
      </c>
      <c r="B78" s="89"/>
      <c r="C78" s="89"/>
      <c r="D78" s="47">
        <f t="shared" si="9"/>
        <v>0.33581499563067674</v>
      </c>
      <c r="E78" s="47">
        <f t="shared" si="9"/>
        <v>0.29739989266280115</v>
      </c>
      <c r="F78" s="47">
        <f t="shared" si="9"/>
        <v>0.3185385106611894</v>
      </c>
      <c r="G78" s="47">
        <f t="shared" si="9"/>
        <v>0.2742662057161172</v>
      </c>
      <c r="H78" s="47">
        <f t="shared" si="9"/>
        <v>0.4228740152262912</v>
      </c>
      <c r="I78" s="47">
        <f t="shared" si="9"/>
        <v>0.3267019361812201</v>
      </c>
      <c r="J78" s="76">
        <f t="shared" si="9"/>
        <v>0.4625642921505362</v>
      </c>
    </row>
    <row r="79" spans="1:10" ht="13.5" hidden="1" thickBot="1">
      <c r="A79" s="90" t="s">
        <v>45</v>
      </c>
      <c r="B79" s="91"/>
      <c r="C79" s="91"/>
      <c r="D79" s="64">
        <f t="shared" si="9"/>
        <v>0.5007206735757187</v>
      </c>
      <c r="E79" s="64">
        <f t="shared" si="9"/>
        <v>0.39864555461679196</v>
      </c>
      <c r="F79" s="64">
        <f t="shared" si="9"/>
        <v>0.4932405951164311</v>
      </c>
      <c r="G79" s="64">
        <f t="shared" si="9"/>
        <v>0.5101595355838984</v>
      </c>
      <c r="H79" s="64">
        <f t="shared" si="9"/>
        <v>0.5945437064678522</v>
      </c>
      <c r="I79" s="64">
        <f t="shared" si="9"/>
        <v>0.49829906164549864</v>
      </c>
      <c r="J79" s="65">
        <f t="shared" si="9"/>
        <v>0.5142116965375277</v>
      </c>
    </row>
    <row r="80" ht="13.5" hidden="1" thickTop="1"/>
    <row r="81" ht="12.75" hidden="1"/>
    <row r="82" spans="1:10" ht="15.75" hidden="1">
      <c r="A82" s="860" t="s">
        <v>18</v>
      </c>
      <c r="B82" s="860"/>
      <c r="C82" s="860"/>
      <c r="D82" s="860"/>
      <c r="E82" s="860"/>
      <c r="F82" s="860"/>
      <c r="G82" s="860"/>
      <c r="H82" s="860"/>
      <c r="I82" s="860"/>
      <c r="J82" s="860"/>
    </row>
    <row r="83" spans="1:10" ht="15.75" hidden="1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6.5" hidden="1" thickBot="1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3.5" hidden="1" thickTop="1">
      <c r="A85" s="16" t="s">
        <v>46</v>
      </c>
      <c r="B85" s="17">
        <v>1998</v>
      </c>
      <c r="C85" s="17">
        <v>1999</v>
      </c>
      <c r="D85" s="17">
        <v>2000</v>
      </c>
      <c r="E85" s="17">
        <v>2001</v>
      </c>
      <c r="F85" s="17">
        <v>2002</v>
      </c>
      <c r="G85" s="17">
        <v>2003</v>
      </c>
      <c r="H85" s="17">
        <v>2004</v>
      </c>
      <c r="I85" s="17">
        <v>2005</v>
      </c>
      <c r="J85" s="18">
        <v>2006</v>
      </c>
    </row>
    <row r="86" spans="1:10" ht="12.75" hidden="1">
      <c r="A86" s="92" t="s">
        <v>15</v>
      </c>
      <c r="B86" s="32"/>
      <c r="C86" s="32"/>
      <c r="D86" s="32">
        <v>4366</v>
      </c>
      <c r="E86" s="32">
        <v>5007</v>
      </c>
      <c r="F86" s="32">
        <v>6262</v>
      </c>
      <c r="G86" s="32">
        <v>7940</v>
      </c>
      <c r="H86" s="32">
        <v>8101</v>
      </c>
      <c r="I86" s="32">
        <v>8702</v>
      </c>
      <c r="J86" s="93">
        <v>8892</v>
      </c>
    </row>
    <row r="87" spans="1:10" ht="12.75" hidden="1">
      <c r="A87" s="94" t="s">
        <v>14</v>
      </c>
      <c r="B87" s="22"/>
      <c r="C87" s="22"/>
      <c r="D87" s="22">
        <v>6161</v>
      </c>
      <c r="E87" s="22">
        <v>6389</v>
      </c>
      <c r="F87" s="22">
        <v>7769</v>
      </c>
      <c r="G87" s="22">
        <v>9711</v>
      </c>
      <c r="H87" s="22">
        <v>10442</v>
      </c>
      <c r="I87" s="22">
        <v>11253</v>
      </c>
      <c r="J87" s="60">
        <v>9719</v>
      </c>
    </row>
    <row r="88" spans="1:10" ht="13.5" hidden="1" thickBot="1">
      <c r="A88" s="95" t="s">
        <v>13</v>
      </c>
      <c r="B88" s="63"/>
      <c r="C88" s="63"/>
      <c r="D88" s="64">
        <f aca="true" t="shared" si="10" ref="D88:J88">SUM(D86/D87)</f>
        <v>0.7086511929881513</v>
      </c>
      <c r="E88" s="64">
        <f t="shared" si="10"/>
        <v>0.7836907184222883</v>
      </c>
      <c r="F88" s="64">
        <f t="shared" si="10"/>
        <v>0.8060239413051873</v>
      </c>
      <c r="G88" s="64">
        <f t="shared" si="10"/>
        <v>0.8176294923282875</v>
      </c>
      <c r="H88" s="64">
        <f t="shared" si="10"/>
        <v>0.7758092319479027</v>
      </c>
      <c r="I88" s="64">
        <f t="shared" si="10"/>
        <v>0.7733048964720519</v>
      </c>
      <c r="J88" s="65">
        <f t="shared" si="10"/>
        <v>0.9149089412490997</v>
      </c>
    </row>
    <row r="89" ht="13.5" hidden="1" thickTop="1"/>
    <row r="90" ht="12.75" hidden="1"/>
    <row r="91" ht="12.75" hidden="1"/>
    <row r="92" ht="12.75" hidden="1">
      <c r="K92" s="38"/>
    </row>
    <row r="93" ht="12.75" hidden="1"/>
    <row r="94" ht="12.75" hidden="1"/>
    <row r="95" ht="12.75" hidden="1"/>
    <row r="96" spans="1:10" ht="12.75" hidden="1">
      <c r="A96" s="23"/>
      <c r="B96" s="23"/>
      <c r="C96" s="23"/>
      <c r="D96" s="55"/>
      <c r="E96" s="55"/>
      <c r="F96" s="55"/>
      <c r="G96" s="55"/>
      <c r="H96" s="55"/>
      <c r="I96" s="55"/>
      <c r="J96" s="55"/>
    </row>
    <row r="97" ht="12.75" hidden="1">
      <c r="E97" s="27" t="s">
        <v>21</v>
      </c>
    </row>
    <row r="98" ht="12.75" hidden="1"/>
    <row r="99" spans="1:10" ht="12.75" hidden="1">
      <c r="A99" s="8"/>
      <c r="B99" s="5">
        <v>1998</v>
      </c>
      <c r="C99" s="2">
        <v>1999</v>
      </c>
      <c r="D99" s="2">
        <v>2000</v>
      </c>
      <c r="E99" s="2">
        <v>2001</v>
      </c>
      <c r="F99" s="2">
        <v>2002</v>
      </c>
      <c r="G99" s="2">
        <v>2003</v>
      </c>
      <c r="H99" s="2">
        <v>2004</v>
      </c>
      <c r="I99" s="9">
        <v>2005</v>
      </c>
      <c r="J99" s="6" t="s">
        <v>22</v>
      </c>
    </row>
    <row r="100" spans="1:10" ht="12.75" hidden="1">
      <c r="A100" s="40" t="s">
        <v>26</v>
      </c>
      <c r="B100" s="30">
        <v>4208240</v>
      </c>
      <c r="C100" s="31">
        <v>4777712</v>
      </c>
      <c r="D100" s="31">
        <v>4983642</v>
      </c>
      <c r="E100" s="31">
        <v>5827464</v>
      </c>
      <c r="F100" s="31">
        <v>7209983</v>
      </c>
      <c r="G100" s="31">
        <v>9062760</v>
      </c>
      <c r="H100" s="31">
        <v>9221611</v>
      </c>
      <c r="I100" s="31">
        <v>9993605</v>
      </c>
      <c r="J100" s="93">
        <v>10181257</v>
      </c>
    </row>
    <row r="101" spans="1:10" ht="12.75" hidden="1">
      <c r="A101" s="45" t="s">
        <v>27</v>
      </c>
      <c r="B101" s="33">
        <v>2425962</v>
      </c>
      <c r="C101" s="34">
        <v>1799580</v>
      </c>
      <c r="D101" s="34">
        <v>2203550</v>
      </c>
      <c r="E101" s="34">
        <v>5126577</v>
      </c>
      <c r="F101" s="34">
        <v>3028663</v>
      </c>
      <c r="G101" s="34">
        <v>1773290</v>
      </c>
      <c r="H101" s="34">
        <v>2616472</v>
      </c>
      <c r="I101" s="34">
        <v>4269455</v>
      </c>
      <c r="J101" s="96">
        <v>6770434</v>
      </c>
    </row>
    <row r="102" spans="1:10" ht="12.75" hidden="1">
      <c r="A102" s="48" t="s">
        <v>28</v>
      </c>
      <c r="B102" s="36">
        <v>4913636</v>
      </c>
      <c r="C102" s="37">
        <v>5505898</v>
      </c>
      <c r="D102" s="37">
        <v>7060590</v>
      </c>
      <c r="E102" s="37">
        <v>9610834</v>
      </c>
      <c r="F102" s="37">
        <v>9359603</v>
      </c>
      <c r="G102" s="37">
        <v>11662567</v>
      </c>
      <c r="H102" s="37">
        <v>8149588</v>
      </c>
      <c r="I102" s="37">
        <v>10909516</v>
      </c>
      <c r="J102" s="97">
        <v>7081541</v>
      </c>
    </row>
    <row r="103" spans="1:10" ht="13.5" hidden="1" thickBot="1">
      <c r="A103" s="52" t="s">
        <v>29</v>
      </c>
      <c r="B103" s="98">
        <v>11547838</v>
      </c>
      <c r="C103" s="99">
        <v>12083190</v>
      </c>
      <c r="D103" s="99">
        <v>14247782</v>
      </c>
      <c r="E103" s="99">
        <v>20564875</v>
      </c>
      <c r="F103" s="99">
        <v>19598249</v>
      </c>
      <c r="G103" s="99">
        <v>22498617</v>
      </c>
      <c r="H103" s="99">
        <v>19987671</v>
      </c>
      <c r="I103" s="99">
        <v>25172576</v>
      </c>
      <c r="J103" s="75">
        <v>24033232</v>
      </c>
    </row>
    <row r="104" ht="13.5" hidden="1" thickTop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3.5" hidden="1" thickBot="1"/>
    <row r="124" spans="1:8" ht="13.5" hidden="1" thickTop="1">
      <c r="A124" s="10"/>
      <c r="B124" s="1">
        <v>2000</v>
      </c>
      <c r="C124" s="1">
        <v>2001</v>
      </c>
      <c r="D124" s="1">
        <v>2002</v>
      </c>
      <c r="E124" s="1">
        <v>2003</v>
      </c>
      <c r="F124" s="1">
        <v>2004</v>
      </c>
      <c r="G124" s="1">
        <v>2005</v>
      </c>
      <c r="H124" s="11">
        <v>2006</v>
      </c>
    </row>
    <row r="125" spans="1:8" ht="12.75" hidden="1">
      <c r="A125" s="56" t="s">
        <v>17</v>
      </c>
      <c r="B125" s="32">
        <v>4984</v>
      </c>
      <c r="C125" s="32">
        <v>5827</v>
      </c>
      <c r="D125" s="32">
        <v>7210</v>
      </c>
      <c r="E125" s="32">
        <v>9063</v>
      </c>
      <c r="F125" s="32">
        <v>9222</v>
      </c>
      <c r="G125" s="32">
        <v>9994</v>
      </c>
      <c r="H125" s="93">
        <v>10181</v>
      </c>
    </row>
    <row r="126" spans="1:8" ht="12.75" hidden="1">
      <c r="A126" s="58" t="s">
        <v>14</v>
      </c>
      <c r="B126" s="22">
        <v>6161</v>
      </c>
      <c r="C126" s="22">
        <v>6389</v>
      </c>
      <c r="D126" s="22">
        <v>7769</v>
      </c>
      <c r="E126" s="22">
        <v>9711</v>
      </c>
      <c r="F126" s="22">
        <v>10442</v>
      </c>
      <c r="G126" s="22">
        <v>11253</v>
      </c>
      <c r="H126" s="60">
        <v>9719</v>
      </c>
    </row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3.5" hidden="1" thickBot="1"/>
    <row r="147" spans="1:8" ht="13.5" hidden="1" thickTop="1">
      <c r="A147" s="16"/>
      <c r="B147" s="17">
        <v>2000</v>
      </c>
      <c r="C147" s="17">
        <v>2001</v>
      </c>
      <c r="D147" s="17">
        <v>2002</v>
      </c>
      <c r="E147" s="17">
        <v>2003</v>
      </c>
      <c r="F147" s="17">
        <v>2004</v>
      </c>
      <c r="G147" s="17">
        <v>2005</v>
      </c>
      <c r="H147" s="18">
        <v>2006</v>
      </c>
    </row>
    <row r="148" spans="1:8" ht="12.75" hidden="1">
      <c r="A148" s="92" t="s">
        <v>15</v>
      </c>
      <c r="B148" s="32">
        <v>4366</v>
      </c>
      <c r="C148" s="32">
        <v>5007</v>
      </c>
      <c r="D148" s="32">
        <v>6262</v>
      </c>
      <c r="E148" s="32">
        <v>7940</v>
      </c>
      <c r="F148" s="32">
        <v>8101</v>
      </c>
      <c r="G148" s="32">
        <v>8702</v>
      </c>
      <c r="H148" s="93">
        <v>8892</v>
      </c>
    </row>
    <row r="149" spans="1:8" ht="12.75" hidden="1">
      <c r="A149" s="94" t="s">
        <v>14</v>
      </c>
      <c r="B149" s="22">
        <v>6161</v>
      </c>
      <c r="C149" s="22">
        <v>6389</v>
      </c>
      <c r="D149" s="22">
        <v>7769</v>
      </c>
      <c r="E149" s="22">
        <v>9711</v>
      </c>
      <c r="F149" s="22">
        <v>10442</v>
      </c>
      <c r="G149" s="22">
        <v>11253</v>
      </c>
      <c r="H149" s="60">
        <v>9719</v>
      </c>
    </row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221" spans="1:9" ht="12.75">
      <c r="A221" s="27" t="s">
        <v>46</v>
      </c>
      <c r="B221" s="27" t="s">
        <v>25</v>
      </c>
      <c r="I221" s="27" t="s">
        <v>23</v>
      </c>
    </row>
    <row r="222" spans="2:10" ht="12.75">
      <c r="B222" s="27">
        <v>2000</v>
      </c>
      <c r="C222" s="27">
        <v>2001</v>
      </c>
      <c r="D222" s="27">
        <v>2002</v>
      </c>
      <c r="E222" s="27">
        <v>2003</v>
      </c>
      <c r="F222" s="27">
        <v>2004</v>
      </c>
      <c r="G222" s="27">
        <v>2005</v>
      </c>
      <c r="H222" s="27">
        <v>2006</v>
      </c>
      <c r="I222" s="27">
        <v>2007</v>
      </c>
      <c r="J222" s="27">
        <v>2008</v>
      </c>
    </row>
    <row r="223" spans="1:10" ht="12.75">
      <c r="A223" s="113" t="s">
        <v>26</v>
      </c>
      <c r="B223" s="113">
        <v>617471</v>
      </c>
      <c r="C223" s="113">
        <v>820956</v>
      </c>
      <c r="D223" s="113">
        <v>947818</v>
      </c>
      <c r="E223" s="113">
        <v>1122382</v>
      </c>
      <c r="F223" s="113">
        <v>1121054</v>
      </c>
      <c r="G223" s="113">
        <v>1291384</v>
      </c>
      <c r="H223" s="113">
        <f aca="true" t="shared" si="11" ref="H223:J225">H9</f>
        <v>1328150</v>
      </c>
      <c r="I223" s="113">
        <f t="shared" si="11"/>
        <v>1406903</v>
      </c>
      <c r="J223" s="113">
        <f t="shared" si="11"/>
        <v>1425226</v>
      </c>
    </row>
    <row r="224" spans="1:10" ht="12.75">
      <c r="A224" s="113" t="s">
        <v>27</v>
      </c>
      <c r="B224" s="113">
        <v>1806614</v>
      </c>
      <c r="C224" s="113">
        <v>4793250</v>
      </c>
      <c r="D224" s="113">
        <v>2605570</v>
      </c>
      <c r="E224" s="113">
        <v>1434432</v>
      </c>
      <c r="F224" s="113">
        <v>2279734</v>
      </c>
      <c r="G224" s="113">
        <v>3992365</v>
      </c>
      <c r="H224" s="113">
        <f t="shared" si="11"/>
        <v>5571478</v>
      </c>
      <c r="I224" s="113">
        <f t="shared" si="11"/>
        <v>3337583</v>
      </c>
      <c r="J224" s="113">
        <f t="shared" si="11"/>
        <v>2813793</v>
      </c>
    </row>
    <row r="225" spans="1:10" ht="12.75">
      <c r="A225" s="113" t="s">
        <v>28</v>
      </c>
      <c r="B225" s="113">
        <v>4689538</v>
      </c>
      <c r="C225" s="113">
        <v>6752573</v>
      </c>
      <c r="D225" s="113">
        <v>6378209</v>
      </c>
      <c r="E225" s="113">
        <v>8463919</v>
      </c>
      <c r="F225" s="113">
        <v>4703339</v>
      </c>
      <c r="G225" s="113">
        <v>7345356</v>
      </c>
      <c r="H225" s="113">
        <f t="shared" si="11"/>
        <v>5608342</v>
      </c>
      <c r="I225" s="113">
        <f t="shared" si="11"/>
        <v>9868799</v>
      </c>
      <c r="J225" s="113">
        <f t="shared" si="11"/>
        <v>4211068</v>
      </c>
    </row>
    <row r="226" spans="1:10" ht="12.75">
      <c r="A226" s="113" t="s">
        <v>29</v>
      </c>
      <c r="B226" s="113">
        <v>7113623</v>
      </c>
      <c r="C226" s="113">
        <v>12366779</v>
      </c>
      <c r="D226" s="113">
        <v>9931597</v>
      </c>
      <c r="E226" s="113">
        <v>11020733</v>
      </c>
      <c r="F226" s="113">
        <v>8104127</v>
      </c>
      <c r="G226" s="113">
        <v>12629105</v>
      </c>
      <c r="H226" s="113">
        <f>SUM(H223:H225)</f>
        <v>12507970</v>
      </c>
      <c r="I226" s="113">
        <f>SUM(I223:I225)</f>
        <v>14613285</v>
      </c>
      <c r="J226" s="113">
        <f>SUM(J223:J225)</f>
        <v>8450087</v>
      </c>
    </row>
    <row r="227" ht="12.75">
      <c r="I227" s="113"/>
    </row>
  </sheetData>
  <mergeCells count="15">
    <mergeCell ref="A49:I49"/>
    <mergeCell ref="A75:B75"/>
    <mergeCell ref="A82:J82"/>
    <mergeCell ref="A58:J58"/>
    <mergeCell ref="A61:I61"/>
    <mergeCell ref="A70:J70"/>
    <mergeCell ref="A73:I73"/>
    <mergeCell ref="A3:J3"/>
    <mergeCell ref="A28:I28"/>
    <mergeCell ref="A37:J37"/>
    <mergeCell ref="A46:J46"/>
    <mergeCell ref="A16:I16"/>
    <mergeCell ref="A25:J25"/>
    <mergeCell ref="A7:A8"/>
    <mergeCell ref="B7:I7"/>
  </mergeCells>
  <printOptions horizontalCentered="1"/>
  <pageMargins left="0.7874015748031497" right="0.7874015748031497" top="0.67" bottom="0.65" header="0.5118110236220472" footer="0.5118110236220472"/>
  <pageSetup horizontalDpi="600" verticalDpi="600" orientation="landscape" paperSize="9" scale="85" r:id="rId2"/>
  <rowBreaks count="1" manualBreakCount="1">
    <brk id="2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N3226"/>
  <sheetViews>
    <sheetView workbookViewId="0" topLeftCell="A1">
      <pane xSplit="1" ySplit="7" topLeftCell="B5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60" sqref="B60"/>
    </sheetView>
  </sheetViews>
  <sheetFormatPr defaultColWidth="9.140625" defaultRowHeight="12.75"/>
  <cols>
    <col min="1" max="1" width="38.8515625" style="458" customWidth="1"/>
    <col min="2" max="2" width="10.8515625" style="459" customWidth="1"/>
    <col min="3" max="3" width="11.57421875" style="455" customWidth="1"/>
    <col min="4" max="5" width="11.7109375" style="455" customWidth="1"/>
    <col min="6" max="16384" width="8.00390625" style="455" customWidth="1"/>
  </cols>
  <sheetData>
    <row r="1" spans="1:14" ht="23.25" customHeight="1">
      <c r="A1" s="880" t="s">
        <v>250</v>
      </c>
      <c r="B1" s="880"/>
      <c r="C1" s="880"/>
      <c r="D1" s="880"/>
      <c r="E1" s="880"/>
      <c r="F1" s="454"/>
      <c r="G1" s="454"/>
      <c r="L1" s="456"/>
      <c r="M1" s="456"/>
      <c r="N1" s="456"/>
    </row>
    <row r="2" spans="1:7" ht="24" customHeight="1">
      <c r="A2" s="880" t="s">
        <v>251</v>
      </c>
      <c r="B2" s="880"/>
      <c r="C2" s="880"/>
      <c r="D2" s="880"/>
      <c r="E2" s="880"/>
      <c r="F2" s="457"/>
      <c r="G2" s="454"/>
    </row>
    <row r="3" spans="1:7" ht="12.75">
      <c r="A3" s="882" t="s">
        <v>350</v>
      </c>
      <c r="B3" s="882"/>
      <c r="C3" s="882"/>
      <c r="D3" s="882"/>
      <c r="E3" s="882"/>
      <c r="F3" s="457"/>
      <c r="G3" s="454"/>
    </row>
    <row r="4" spans="6:7" ht="12.75">
      <c r="F4" s="454"/>
      <c r="G4" s="454"/>
    </row>
    <row r="5" spans="1:7" ht="18.75" customHeight="1">
      <c r="A5" s="878" t="s">
        <v>222</v>
      </c>
      <c r="B5" s="881" t="s">
        <v>252</v>
      </c>
      <c r="C5" s="881"/>
      <c r="D5" s="881"/>
      <c r="E5" s="881"/>
      <c r="F5" s="454"/>
      <c r="G5" s="454"/>
    </row>
    <row r="6" spans="1:7" ht="19.5" customHeight="1">
      <c r="A6" s="879"/>
      <c r="B6" s="713" t="s">
        <v>48</v>
      </c>
      <c r="C6" s="713" t="s">
        <v>49</v>
      </c>
      <c r="D6" s="713" t="s">
        <v>1</v>
      </c>
      <c r="E6" s="714" t="s">
        <v>10</v>
      </c>
      <c r="F6" s="454"/>
      <c r="G6" s="454"/>
    </row>
    <row r="7" spans="1:8" ht="18" customHeight="1">
      <c r="A7" s="877" t="s">
        <v>253</v>
      </c>
      <c r="B7" s="877"/>
      <c r="C7" s="877"/>
      <c r="D7" s="877"/>
      <c r="E7" s="877"/>
      <c r="F7" s="454"/>
      <c r="G7" s="454"/>
      <c r="H7" s="461"/>
    </row>
    <row r="8" spans="1:7" ht="12.75">
      <c r="A8" s="604" t="s">
        <v>254</v>
      </c>
      <c r="B8" s="715">
        <v>25</v>
      </c>
      <c r="C8" s="715">
        <v>25</v>
      </c>
      <c r="D8" s="716">
        <v>23</v>
      </c>
      <c r="E8" s="717">
        <v>0</v>
      </c>
      <c r="F8" s="460"/>
      <c r="G8" s="454"/>
    </row>
    <row r="9" spans="1:7" ht="12.75">
      <c r="A9" s="644" t="s">
        <v>255</v>
      </c>
      <c r="B9" s="718">
        <v>124</v>
      </c>
      <c r="C9" s="718">
        <v>124</v>
      </c>
      <c r="D9" s="719">
        <v>124</v>
      </c>
      <c r="E9" s="720">
        <v>123</v>
      </c>
      <c r="F9" s="454"/>
      <c r="G9" s="454"/>
    </row>
    <row r="10" spans="1:7" ht="18" customHeight="1">
      <c r="A10" s="721" t="s">
        <v>256</v>
      </c>
      <c r="B10" s="722">
        <f>SUM(B8:B9)</f>
        <v>149</v>
      </c>
      <c r="C10" s="722">
        <f>SUM(C8:C9)</f>
        <v>149</v>
      </c>
      <c r="D10" s="722">
        <f>SUM(D8:D9)</f>
        <v>147</v>
      </c>
      <c r="E10" s="723">
        <f>SUM(E8:E9)</f>
        <v>123</v>
      </c>
      <c r="F10" s="454"/>
      <c r="G10" s="454"/>
    </row>
    <row r="11" spans="1:7" ht="18" customHeight="1">
      <c r="A11" s="877" t="s">
        <v>229</v>
      </c>
      <c r="B11" s="877"/>
      <c r="C11" s="877"/>
      <c r="D11" s="877"/>
      <c r="E11" s="877"/>
      <c r="F11" s="454"/>
      <c r="G11" s="454"/>
    </row>
    <row r="12" spans="1:7" ht="12.75">
      <c r="A12" s="604" t="s">
        <v>209</v>
      </c>
      <c r="B12" s="715">
        <v>194</v>
      </c>
      <c r="C12" s="715">
        <v>194</v>
      </c>
      <c r="D12" s="724">
        <v>195</v>
      </c>
      <c r="E12" s="725">
        <v>0</v>
      </c>
      <c r="F12" s="454"/>
      <c r="G12" s="454"/>
    </row>
    <row r="13" spans="1:7" ht="12.75">
      <c r="A13" s="726" t="s">
        <v>210</v>
      </c>
      <c r="B13" s="715">
        <v>205</v>
      </c>
      <c r="C13" s="715">
        <v>199</v>
      </c>
      <c r="D13" s="715">
        <v>199</v>
      </c>
      <c r="E13" s="727">
        <v>199</v>
      </c>
      <c r="F13" s="454"/>
      <c r="G13" s="454"/>
    </row>
    <row r="14" spans="1:7" ht="25.5">
      <c r="A14" s="728" t="s">
        <v>211</v>
      </c>
      <c r="B14" s="715">
        <v>38</v>
      </c>
      <c r="C14" s="715">
        <v>38</v>
      </c>
      <c r="D14" s="715">
        <v>38</v>
      </c>
      <c r="E14" s="729">
        <v>39</v>
      </c>
      <c r="F14" s="454"/>
      <c r="G14" s="454"/>
    </row>
    <row r="15" spans="1:7" ht="12.75">
      <c r="A15" s="604" t="s">
        <v>212</v>
      </c>
      <c r="B15" s="715">
        <v>53</v>
      </c>
      <c r="C15" s="715">
        <v>53</v>
      </c>
      <c r="D15" s="715">
        <v>64</v>
      </c>
      <c r="E15" s="727">
        <v>0</v>
      </c>
      <c r="F15" s="454"/>
      <c r="G15" s="454"/>
    </row>
    <row r="16" spans="1:7" ht="12.75">
      <c r="A16" s="644" t="s">
        <v>257</v>
      </c>
      <c r="B16" s="718">
        <v>116</v>
      </c>
      <c r="C16" s="718">
        <v>111</v>
      </c>
      <c r="D16" s="718">
        <v>106</v>
      </c>
      <c r="E16" s="730">
        <v>84</v>
      </c>
      <c r="F16" s="454"/>
      <c r="G16" s="454"/>
    </row>
    <row r="17" spans="1:7" ht="17.25" customHeight="1">
      <c r="A17" s="721" t="s">
        <v>230</v>
      </c>
      <c r="B17" s="722">
        <f>SUM(B12:B16)</f>
        <v>606</v>
      </c>
      <c r="C17" s="722">
        <f>SUM(C12:C16)</f>
        <v>595</v>
      </c>
      <c r="D17" s="722">
        <f>SUM(D12:D16)</f>
        <v>602</v>
      </c>
      <c r="E17" s="723">
        <f>SUM(E12:E16)</f>
        <v>322</v>
      </c>
      <c r="F17" s="454"/>
      <c r="G17" s="454"/>
    </row>
    <row r="18" spans="1:7" ht="25.5" customHeight="1">
      <c r="A18" s="731" t="s">
        <v>258</v>
      </c>
      <c r="B18" s="732">
        <v>0</v>
      </c>
      <c r="C18" s="733">
        <v>8</v>
      </c>
      <c r="D18" s="733">
        <v>25</v>
      </c>
      <c r="E18" s="734">
        <v>27</v>
      </c>
      <c r="F18" s="454"/>
      <c r="G18" s="454"/>
    </row>
    <row r="19" spans="1:7" ht="18" customHeight="1">
      <c r="A19" s="877" t="s">
        <v>231</v>
      </c>
      <c r="B19" s="877"/>
      <c r="C19" s="877"/>
      <c r="D19" s="877"/>
      <c r="E19" s="877"/>
      <c r="F19" s="454"/>
      <c r="G19" s="454"/>
    </row>
    <row r="20" spans="1:7" ht="12.75">
      <c r="A20" s="604" t="s">
        <v>232</v>
      </c>
      <c r="B20" s="735">
        <v>102</v>
      </c>
      <c r="C20" s="715">
        <v>98</v>
      </c>
      <c r="D20" s="729">
        <v>98.25</v>
      </c>
      <c r="E20" s="729"/>
      <c r="F20" s="454"/>
      <c r="G20" s="454"/>
    </row>
    <row r="21" spans="1:7" ht="12.75">
      <c r="A21" s="604" t="s">
        <v>233</v>
      </c>
      <c r="B21" s="735">
        <v>119</v>
      </c>
      <c r="C21" s="715">
        <v>119</v>
      </c>
      <c r="D21" s="729">
        <v>114.75</v>
      </c>
      <c r="E21" s="729"/>
      <c r="F21" s="454"/>
      <c r="G21" s="454"/>
    </row>
    <row r="22" spans="1:7" ht="12.75">
      <c r="A22" s="604" t="s">
        <v>234</v>
      </c>
      <c r="B22" s="735">
        <v>103</v>
      </c>
      <c r="C22" s="715">
        <v>102</v>
      </c>
      <c r="D22" s="729">
        <v>102.25</v>
      </c>
      <c r="E22" s="729"/>
      <c r="F22" s="454"/>
      <c r="G22" s="454"/>
    </row>
    <row r="23" spans="1:7" ht="12.75">
      <c r="A23" s="604" t="s">
        <v>235</v>
      </c>
      <c r="B23" s="735">
        <v>108</v>
      </c>
      <c r="C23" s="715">
        <v>107</v>
      </c>
      <c r="D23" s="729">
        <v>106.75</v>
      </c>
      <c r="E23" s="729"/>
      <c r="F23" s="454"/>
      <c r="G23" s="454"/>
    </row>
    <row r="24" spans="1:7" ht="12.75">
      <c r="A24" s="644" t="s">
        <v>236</v>
      </c>
      <c r="B24" s="736"/>
      <c r="C24" s="718"/>
      <c r="D24" s="718"/>
      <c r="E24" s="730">
        <v>390</v>
      </c>
      <c r="F24" s="454"/>
      <c r="G24" s="454"/>
    </row>
    <row r="25" spans="1:7" ht="18" customHeight="1">
      <c r="A25" s="721" t="s">
        <v>178</v>
      </c>
      <c r="B25" s="737">
        <f>SUM(B20:B24)</f>
        <v>432</v>
      </c>
      <c r="C25" s="737">
        <f>SUM(C20:C24)</f>
        <v>426</v>
      </c>
      <c r="D25" s="737">
        <f>SUM(D20:D24)</f>
        <v>422</v>
      </c>
      <c r="E25" s="737">
        <f>SUM(E20:E24)</f>
        <v>390</v>
      </c>
      <c r="F25" s="454"/>
      <c r="G25" s="454"/>
    </row>
    <row r="26" spans="1:7" ht="25.5">
      <c r="A26" s="738" t="s">
        <v>237</v>
      </c>
      <c r="B26" s="739">
        <v>104</v>
      </c>
      <c r="C26" s="740">
        <v>137</v>
      </c>
      <c r="D26" s="741">
        <v>92.5</v>
      </c>
      <c r="E26" s="741">
        <v>83</v>
      </c>
      <c r="F26" s="454"/>
      <c r="G26" s="454"/>
    </row>
    <row r="27" spans="1:7" ht="25.5">
      <c r="A27" s="742" t="s">
        <v>238</v>
      </c>
      <c r="B27" s="735">
        <v>0</v>
      </c>
      <c r="C27" s="715">
        <v>0</v>
      </c>
      <c r="D27" s="729">
        <v>38</v>
      </c>
      <c r="E27" s="729">
        <v>35</v>
      </c>
      <c r="F27" s="454"/>
      <c r="G27" s="454"/>
    </row>
    <row r="28" spans="1:7" ht="11.25" customHeight="1">
      <c r="A28" s="604" t="s">
        <v>181</v>
      </c>
      <c r="B28" s="735">
        <v>71</v>
      </c>
      <c r="C28" s="715">
        <v>68</v>
      </c>
      <c r="D28" s="729">
        <v>67.5</v>
      </c>
      <c r="E28" s="729">
        <v>60</v>
      </c>
      <c r="F28" s="454"/>
      <c r="G28" s="454"/>
    </row>
    <row r="29" spans="1:7" ht="12.75">
      <c r="A29" s="604" t="s">
        <v>182</v>
      </c>
      <c r="B29" s="735">
        <v>51</v>
      </c>
      <c r="C29" s="715">
        <v>48</v>
      </c>
      <c r="D29" s="729">
        <v>48</v>
      </c>
      <c r="E29" s="729">
        <v>46</v>
      </c>
      <c r="F29" s="454"/>
      <c r="G29" s="454"/>
    </row>
    <row r="30" spans="1:7" ht="12.75">
      <c r="A30" s="604" t="s">
        <v>183</v>
      </c>
      <c r="B30" s="735">
        <v>54</v>
      </c>
      <c r="C30" s="715">
        <v>53</v>
      </c>
      <c r="D30" s="729">
        <v>51</v>
      </c>
      <c r="E30" s="729">
        <v>49</v>
      </c>
      <c r="F30" s="460"/>
      <c r="G30" s="454"/>
    </row>
    <row r="31" spans="1:7" ht="25.5">
      <c r="A31" s="742" t="s">
        <v>259</v>
      </c>
      <c r="B31" s="735">
        <v>60</v>
      </c>
      <c r="C31" s="715">
        <v>57</v>
      </c>
      <c r="D31" s="729">
        <v>56</v>
      </c>
      <c r="E31" s="729">
        <v>58.1</v>
      </c>
      <c r="F31" s="454"/>
      <c r="G31" s="454"/>
    </row>
    <row r="32" spans="1:7" ht="12.75">
      <c r="A32" s="604" t="s">
        <v>240</v>
      </c>
      <c r="B32" s="735">
        <v>48</v>
      </c>
      <c r="C32" s="715">
        <v>46</v>
      </c>
      <c r="D32" s="729">
        <v>48</v>
      </c>
      <c r="E32" s="729">
        <v>45.4</v>
      </c>
      <c r="F32" s="454"/>
      <c r="G32" s="454"/>
    </row>
    <row r="33" spans="1:7" ht="12.75">
      <c r="A33" s="604" t="s">
        <v>186</v>
      </c>
      <c r="B33" s="735">
        <v>50</v>
      </c>
      <c r="C33" s="715">
        <v>51</v>
      </c>
      <c r="D33" s="729">
        <v>51</v>
      </c>
      <c r="E33" s="729">
        <v>47.6</v>
      </c>
      <c r="F33" s="454"/>
      <c r="G33" s="454"/>
    </row>
    <row r="34" spans="1:7" ht="25.5">
      <c r="A34" s="728" t="s">
        <v>187</v>
      </c>
      <c r="B34" s="735">
        <v>97</v>
      </c>
      <c r="C34" s="715">
        <v>94</v>
      </c>
      <c r="D34" s="729">
        <v>94</v>
      </c>
      <c r="E34" s="729">
        <v>83.5</v>
      </c>
      <c r="F34" s="454"/>
      <c r="G34" s="454"/>
    </row>
    <row r="35" spans="1:7" ht="15.75" customHeight="1">
      <c r="A35" s="604" t="s">
        <v>241</v>
      </c>
      <c r="B35" s="735">
        <v>51</v>
      </c>
      <c r="C35" s="715">
        <v>51</v>
      </c>
      <c r="D35" s="729">
        <v>0</v>
      </c>
      <c r="E35" s="729">
        <v>0</v>
      </c>
      <c r="F35" s="454"/>
      <c r="G35" s="454"/>
    </row>
    <row r="36" spans="1:7" ht="25.5" customHeight="1">
      <c r="A36" s="743" t="s">
        <v>260</v>
      </c>
      <c r="B36" s="735">
        <v>70</v>
      </c>
      <c r="C36" s="715">
        <v>74</v>
      </c>
      <c r="D36" s="729">
        <v>76</v>
      </c>
      <c r="E36" s="729">
        <v>74.5</v>
      </c>
      <c r="F36" s="454"/>
      <c r="G36" s="454"/>
    </row>
    <row r="37" spans="1:7" ht="25.5">
      <c r="A37" s="728" t="s">
        <v>189</v>
      </c>
      <c r="B37" s="735">
        <v>55</v>
      </c>
      <c r="C37" s="715">
        <v>65</v>
      </c>
      <c r="D37" s="729">
        <v>62.5</v>
      </c>
      <c r="E37" s="729">
        <v>49.5</v>
      </c>
      <c r="F37" s="454"/>
      <c r="G37" s="454"/>
    </row>
    <row r="38" spans="1:7" ht="38.25">
      <c r="A38" s="728" t="s">
        <v>190</v>
      </c>
      <c r="B38" s="735">
        <v>81</v>
      </c>
      <c r="C38" s="715">
        <v>77</v>
      </c>
      <c r="D38" s="729">
        <v>73.5</v>
      </c>
      <c r="E38" s="729">
        <v>65.9</v>
      </c>
      <c r="F38" s="454"/>
      <c r="G38" s="454"/>
    </row>
    <row r="39" spans="1:7" ht="12.75">
      <c r="A39" s="744" t="s">
        <v>191</v>
      </c>
      <c r="B39" s="735">
        <v>0</v>
      </c>
      <c r="C39" s="715">
        <v>110</v>
      </c>
      <c r="D39" s="729">
        <v>109</v>
      </c>
      <c r="E39" s="729">
        <v>94.2</v>
      </c>
      <c r="F39" s="454"/>
      <c r="G39" s="454"/>
    </row>
    <row r="40" spans="1:7" ht="12" customHeight="1">
      <c r="A40" s="604" t="s">
        <v>242</v>
      </c>
      <c r="B40" s="735">
        <v>61</v>
      </c>
      <c r="C40" s="715">
        <v>61</v>
      </c>
      <c r="D40" s="729">
        <v>0</v>
      </c>
      <c r="E40" s="729">
        <v>0</v>
      </c>
      <c r="F40" s="454"/>
      <c r="G40" s="454"/>
    </row>
    <row r="41" spans="1:7" ht="12.75">
      <c r="A41" s="604" t="s">
        <v>243</v>
      </c>
      <c r="B41" s="735">
        <v>60</v>
      </c>
      <c r="C41" s="715">
        <v>60</v>
      </c>
      <c r="D41" s="729">
        <v>0</v>
      </c>
      <c r="E41" s="729">
        <v>0</v>
      </c>
      <c r="F41" s="454"/>
      <c r="G41" s="454"/>
    </row>
    <row r="42" spans="1:7" ht="12.75">
      <c r="A42" s="644" t="s">
        <v>261</v>
      </c>
      <c r="B42" s="736">
        <v>26</v>
      </c>
      <c r="C42" s="718">
        <v>26</v>
      </c>
      <c r="D42" s="720">
        <v>32.5</v>
      </c>
      <c r="E42" s="720">
        <v>30.5</v>
      </c>
      <c r="F42" s="454"/>
      <c r="G42" s="454"/>
    </row>
    <row r="43" spans="1:7" ht="17.25" customHeight="1">
      <c r="A43" s="745" t="s">
        <v>244</v>
      </c>
      <c r="B43" s="737">
        <f>SUM(B26:B42)</f>
        <v>939</v>
      </c>
      <c r="C43" s="737">
        <f>SUM(C26:C42)</f>
        <v>1078</v>
      </c>
      <c r="D43" s="737">
        <f>SUM(D26:D42)</f>
        <v>899.5</v>
      </c>
      <c r="E43" s="746">
        <f>SUM(E26:E42)</f>
        <v>822.2</v>
      </c>
      <c r="F43" s="454"/>
      <c r="G43" s="454"/>
    </row>
    <row r="44" spans="1:7" ht="12.75">
      <c r="A44" s="747" t="s">
        <v>194</v>
      </c>
      <c r="B44" s="739">
        <v>68</v>
      </c>
      <c r="C44" s="740">
        <v>67</v>
      </c>
      <c r="D44" s="748">
        <v>66</v>
      </c>
      <c r="E44" s="748">
        <v>60.7</v>
      </c>
      <c r="F44" s="454"/>
      <c r="G44" s="454"/>
    </row>
    <row r="45" spans="1:7" ht="12.75">
      <c r="A45" s="604" t="s">
        <v>195</v>
      </c>
      <c r="B45" s="735">
        <v>74</v>
      </c>
      <c r="C45" s="715">
        <v>69</v>
      </c>
      <c r="D45" s="729">
        <v>68.75</v>
      </c>
      <c r="E45" s="729">
        <v>63</v>
      </c>
      <c r="F45" s="454"/>
      <c r="G45" s="454"/>
    </row>
    <row r="46" spans="1:7" ht="12.75">
      <c r="A46" s="749" t="s">
        <v>196</v>
      </c>
      <c r="B46" s="735">
        <v>83</v>
      </c>
      <c r="C46" s="715">
        <v>80</v>
      </c>
      <c r="D46" s="729">
        <v>80</v>
      </c>
      <c r="E46" s="729">
        <v>69</v>
      </c>
      <c r="F46" s="460"/>
      <c r="G46" s="454"/>
    </row>
    <row r="47" spans="1:7" ht="12.75">
      <c r="A47" s="749" t="s">
        <v>245</v>
      </c>
      <c r="B47" s="735">
        <v>95</v>
      </c>
      <c r="C47" s="715">
        <v>90</v>
      </c>
      <c r="D47" s="729">
        <v>91</v>
      </c>
      <c r="E47" s="729">
        <v>74.5</v>
      </c>
      <c r="F47" s="454"/>
      <c r="G47" s="454"/>
    </row>
    <row r="48" spans="1:7" ht="25.5">
      <c r="A48" s="744" t="s">
        <v>198</v>
      </c>
      <c r="B48" s="735">
        <v>0</v>
      </c>
      <c r="C48" s="715">
        <v>55</v>
      </c>
      <c r="D48" s="729">
        <v>54.25</v>
      </c>
      <c r="E48" s="729">
        <v>45.15</v>
      </c>
      <c r="F48" s="454"/>
      <c r="G48" s="454"/>
    </row>
    <row r="49" spans="1:7" ht="26.25" customHeight="1">
      <c r="A49" s="750" t="s">
        <v>246</v>
      </c>
      <c r="B49" s="735">
        <v>49</v>
      </c>
      <c r="C49" s="715">
        <v>40</v>
      </c>
      <c r="D49" s="729">
        <v>0</v>
      </c>
      <c r="E49" s="729">
        <v>0</v>
      </c>
      <c r="F49" s="462"/>
      <c r="G49" s="454"/>
    </row>
    <row r="50" spans="1:7" ht="25.5">
      <c r="A50" s="751" t="s">
        <v>247</v>
      </c>
      <c r="B50" s="735">
        <v>86</v>
      </c>
      <c r="C50" s="715">
        <v>84</v>
      </c>
      <c r="D50" s="729">
        <v>80.75</v>
      </c>
      <c r="E50" s="729">
        <v>69.7</v>
      </c>
      <c r="F50" s="454"/>
      <c r="G50" s="454"/>
    </row>
    <row r="51" spans="1:7" ht="12.75">
      <c r="A51" s="749" t="s">
        <v>201</v>
      </c>
      <c r="B51" s="735">
        <v>169</v>
      </c>
      <c r="C51" s="715">
        <v>163</v>
      </c>
      <c r="D51" s="729">
        <v>147.75</v>
      </c>
      <c r="E51" s="729">
        <v>133.4</v>
      </c>
      <c r="F51" s="454"/>
      <c r="G51" s="454"/>
    </row>
    <row r="52" spans="1:7" ht="12.75">
      <c r="A52" s="749" t="s">
        <v>202</v>
      </c>
      <c r="B52" s="735">
        <v>80</v>
      </c>
      <c r="C52" s="715">
        <v>77</v>
      </c>
      <c r="D52" s="729">
        <v>76.25</v>
      </c>
      <c r="E52" s="729">
        <v>63.7</v>
      </c>
      <c r="F52" s="454"/>
      <c r="G52" s="454"/>
    </row>
    <row r="53" spans="1:7" ht="25.5">
      <c r="A53" s="728" t="s">
        <v>203</v>
      </c>
      <c r="B53" s="735">
        <v>161</v>
      </c>
      <c r="C53" s="715">
        <v>155</v>
      </c>
      <c r="D53" s="729">
        <v>140.5</v>
      </c>
      <c r="E53" s="729">
        <v>123.4</v>
      </c>
      <c r="F53" s="454"/>
      <c r="G53" s="454"/>
    </row>
    <row r="54" spans="1:7" ht="12.75" customHeight="1">
      <c r="A54" s="728" t="s">
        <v>204</v>
      </c>
      <c r="B54" s="735">
        <v>103</v>
      </c>
      <c r="C54" s="715">
        <v>99</v>
      </c>
      <c r="D54" s="729">
        <v>101</v>
      </c>
      <c r="E54" s="729">
        <v>88.9</v>
      </c>
      <c r="F54" s="463"/>
      <c r="G54" s="463"/>
    </row>
    <row r="55" spans="1:7" ht="12.75">
      <c r="A55" s="749" t="s">
        <v>205</v>
      </c>
      <c r="B55" s="735">
        <v>81</v>
      </c>
      <c r="C55" s="715">
        <v>79</v>
      </c>
      <c r="D55" s="729">
        <v>80.75</v>
      </c>
      <c r="E55" s="729">
        <v>72</v>
      </c>
      <c r="F55" s="463"/>
      <c r="G55" s="463"/>
    </row>
    <row r="56" spans="1:7" ht="12.75">
      <c r="A56" s="749" t="s">
        <v>248</v>
      </c>
      <c r="B56" s="735">
        <v>32</v>
      </c>
      <c r="C56" s="715">
        <v>29</v>
      </c>
      <c r="D56" s="729">
        <v>0</v>
      </c>
      <c r="E56" s="729">
        <v>0</v>
      </c>
      <c r="F56" s="463"/>
      <c r="G56" s="463"/>
    </row>
    <row r="57" spans="1:7" ht="15.75" customHeight="1">
      <c r="A57" s="644" t="s">
        <v>207</v>
      </c>
      <c r="B57" s="736">
        <v>129</v>
      </c>
      <c r="C57" s="718">
        <v>129</v>
      </c>
      <c r="D57" s="752">
        <v>121.75</v>
      </c>
      <c r="E57" s="752">
        <v>110.75</v>
      </c>
      <c r="F57" s="463"/>
      <c r="G57" s="463"/>
    </row>
    <row r="58" spans="1:7" ht="15.75" customHeight="1">
      <c r="A58" s="721" t="s">
        <v>206</v>
      </c>
      <c r="B58" s="737">
        <f>SUM(B44:B57)</f>
        <v>1210</v>
      </c>
      <c r="C58" s="737">
        <f>SUM(C44:C57)</f>
        <v>1216</v>
      </c>
      <c r="D58" s="737">
        <f>SUM(D44:D57)</f>
        <v>1108.75</v>
      </c>
      <c r="E58" s="746">
        <f>SUM(E44:E57)</f>
        <v>974.1999999999999</v>
      </c>
      <c r="F58" s="463"/>
      <c r="G58" s="463"/>
    </row>
    <row r="59" spans="1:7" ht="18" customHeight="1">
      <c r="A59" s="877" t="s">
        <v>262</v>
      </c>
      <c r="B59" s="877"/>
      <c r="C59" s="877"/>
      <c r="D59" s="877"/>
      <c r="E59" s="877"/>
      <c r="F59" s="463"/>
      <c r="G59" s="463"/>
    </row>
    <row r="60" spans="1:7" ht="12.75">
      <c r="A60" s="604" t="s">
        <v>263</v>
      </c>
      <c r="B60" s="715">
        <v>25</v>
      </c>
      <c r="C60" s="715">
        <v>25</v>
      </c>
      <c r="D60" s="724">
        <v>66</v>
      </c>
      <c r="E60" s="725">
        <v>66</v>
      </c>
      <c r="F60" s="463"/>
      <c r="G60" s="463"/>
    </row>
    <row r="61" spans="1:7" ht="26.25" customHeight="1">
      <c r="A61" s="644" t="s">
        <v>264</v>
      </c>
      <c r="B61" s="718">
        <v>35</v>
      </c>
      <c r="C61" s="718">
        <v>35</v>
      </c>
      <c r="D61" s="753">
        <v>35</v>
      </c>
      <c r="E61" s="752">
        <v>35</v>
      </c>
      <c r="F61" s="463"/>
      <c r="G61" s="463"/>
    </row>
    <row r="62" spans="1:7" ht="12.75">
      <c r="A62" s="721" t="s">
        <v>265</v>
      </c>
      <c r="B62" s="722">
        <f>SUM(B60:B61)</f>
        <v>60</v>
      </c>
      <c r="C62" s="722">
        <f>SUM(C60:C61)</f>
        <v>60</v>
      </c>
      <c r="D62" s="722">
        <f>SUM(D60:D61)</f>
        <v>101</v>
      </c>
      <c r="E62" s="723">
        <f>SUM(E60:E61)</f>
        <v>101</v>
      </c>
      <c r="F62" s="463"/>
      <c r="G62" s="463"/>
    </row>
    <row r="63" spans="1:7" ht="18" customHeight="1">
      <c r="A63" s="877" t="s">
        <v>266</v>
      </c>
      <c r="B63" s="877"/>
      <c r="C63" s="877"/>
      <c r="D63" s="877"/>
      <c r="E63" s="877"/>
      <c r="F63" s="463"/>
      <c r="G63" s="463"/>
    </row>
    <row r="64" spans="1:7" ht="12.75">
      <c r="A64" s="644" t="s">
        <v>267</v>
      </c>
      <c r="B64" s="718">
        <v>64</v>
      </c>
      <c r="C64" s="718">
        <v>64</v>
      </c>
      <c r="D64" s="719">
        <v>64</v>
      </c>
      <c r="E64" s="720">
        <v>64</v>
      </c>
      <c r="F64" s="463"/>
      <c r="G64" s="463"/>
    </row>
    <row r="65" spans="1:7" ht="17.25" customHeight="1">
      <c r="A65" s="721" t="s">
        <v>268</v>
      </c>
      <c r="B65" s="722">
        <f>SUM(B64)</f>
        <v>64</v>
      </c>
      <c r="C65" s="722">
        <f>SUM(C64)</f>
        <v>64</v>
      </c>
      <c r="D65" s="722">
        <f>SUM(D64)</f>
        <v>64</v>
      </c>
      <c r="E65" s="723">
        <f>SUM(E64)</f>
        <v>64</v>
      </c>
      <c r="F65" s="463"/>
      <c r="G65" s="463"/>
    </row>
    <row r="66" spans="1:7" ht="23.25" customHeight="1">
      <c r="A66" s="754" t="s">
        <v>249</v>
      </c>
      <c r="B66" s="755">
        <f>SUM(B10)+B17+B25+B43+B58+B62+B65</f>
        <v>3460</v>
      </c>
      <c r="C66" s="756">
        <f>SUM(C10)+C17+C25+C43+C58+C62+C65+C18</f>
        <v>3596</v>
      </c>
      <c r="D66" s="756">
        <f>SUM(D10)+D17+D25+D43+D58+D62+D65+D18</f>
        <v>3369.25</v>
      </c>
      <c r="E66" s="755">
        <f>SUM(E10)+E17+E25+E43+E58+E62+E65+E18</f>
        <v>2823.4</v>
      </c>
      <c r="F66" s="463"/>
      <c r="G66" s="464"/>
    </row>
    <row r="67" spans="4:7" ht="12.75">
      <c r="D67" s="465"/>
      <c r="F67" s="463"/>
      <c r="G67" s="463"/>
    </row>
    <row r="68" spans="3:7" ht="12.75">
      <c r="C68" s="466"/>
      <c r="D68" s="465"/>
      <c r="F68" s="463"/>
      <c r="G68" s="463"/>
    </row>
    <row r="69" spans="5:7" ht="12.75">
      <c r="E69" s="466"/>
      <c r="F69" s="463"/>
      <c r="G69" s="463"/>
    </row>
    <row r="70" spans="6:7" ht="12.75">
      <c r="F70" s="463"/>
      <c r="G70" s="463"/>
    </row>
    <row r="71" spans="6:7" ht="12.75">
      <c r="F71" s="463"/>
      <c r="G71" s="463"/>
    </row>
    <row r="72" spans="6:7" ht="12.75">
      <c r="F72" s="463"/>
      <c r="G72" s="463"/>
    </row>
    <row r="73" spans="6:7" ht="12.75">
      <c r="F73" s="463"/>
      <c r="G73" s="463"/>
    </row>
    <row r="74" spans="6:7" ht="12.75">
      <c r="F74" s="463"/>
      <c r="G74" s="463"/>
    </row>
    <row r="75" spans="6:7" ht="12.75">
      <c r="F75" s="463"/>
      <c r="G75" s="463"/>
    </row>
    <row r="76" spans="6:7" ht="12.75">
      <c r="F76" s="463"/>
      <c r="G76" s="463"/>
    </row>
    <row r="77" spans="6:7" ht="12.75">
      <c r="F77" s="463"/>
      <c r="G77" s="463"/>
    </row>
    <row r="78" spans="6:7" ht="12.75">
      <c r="F78" s="463"/>
      <c r="G78" s="463"/>
    </row>
    <row r="79" spans="6:7" ht="12.75">
      <c r="F79" s="463"/>
      <c r="G79" s="463"/>
    </row>
    <row r="80" spans="6:7" ht="12.75">
      <c r="F80" s="463"/>
      <c r="G80" s="463"/>
    </row>
    <row r="81" spans="6:7" ht="12.75">
      <c r="F81" s="463"/>
      <c r="G81" s="463"/>
    </row>
    <row r="82" spans="6:7" ht="12.75">
      <c r="F82" s="463"/>
      <c r="G82" s="463"/>
    </row>
    <row r="83" spans="6:7" ht="12.75">
      <c r="F83" s="463"/>
      <c r="G83" s="463"/>
    </row>
    <row r="84" spans="6:7" ht="12.75">
      <c r="F84" s="463"/>
      <c r="G84" s="463"/>
    </row>
    <row r="85" spans="6:7" ht="12.75">
      <c r="F85" s="463"/>
      <c r="G85" s="463"/>
    </row>
    <row r="86" spans="6:7" ht="12.75">
      <c r="F86" s="463"/>
      <c r="G86" s="463"/>
    </row>
    <row r="87" spans="6:7" ht="12.75">
      <c r="F87" s="463"/>
      <c r="G87" s="463"/>
    </row>
    <row r="88" spans="6:7" ht="12.75">
      <c r="F88" s="463"/>
      <c r="G88" s="463"/>
    </row>
    <row r="89" spans="6:7" ht="12.75">
      <c r="F89" s="463"/>
      <c r="G89" s="463"/>
    </row>
    <row r="90" spans="6:7" ht="12.75">
      <c r="F90" s="463"/>
      <c r="G90" s="463"/>
    </row>
    <row r="91" spans="6:7" ht="12.75">
      <c r="F91" s="463"/>
      <c r="G91" s="463"/>
    </row>
    <row r="92" spans="6:7" ht="12.75">
      <c r="F92" s="463"/>
      <c r="G92" s="463"/>
    </row>
    <row r="93" spans="6:7" ht="12.75">
      <c r="F93" s="463"/>
      <c r="G93" s="463"/>
    </row>
    <row r="94" spans="6:7" ht="12.75">
      <c r="F94" s="463"/>
      <c r="G94" s="463"/>
    </row>
    <row r="95" spans="6:7" ht="12.75">
      <c r="F95" s="463"/>
      <c r="G95" s="463"/>
    </row>
    <row r="96" spans="6:7" ht="12.75">
      <c r="F96" s="463"/>
      <c r="G96" s="463"/>
    </row>
    <row r="97" spans="6:7" ht="12.75">
      <c r="F97" s="463"/>
      <c r="G97" s="463"/>
    </row>
    <row r="98" spans="6:7" ht="12.75">
      <c r="F98" s="463"/>
      <c r="G98" s="463"/>
    </row>
    <row r="99" spans="6:7" ht="12.75">
      <c r="F99" s="463"/>
      <c r="G99" s="463"/>
    </row>
    <row r="100" spans="6:7" ht="12.75">
      <c r="F100" s="463"/>
      <c r="G100" s="463"/>
    </row>
    <row r="101" spans="6:7" ht="12.75">
      <c r="F101" s="463"/>
      <c r="G101" s="463"/>
    </row>
    <row r="102" spans="6:7" ht="12.75">
      <c r="F102" s="463"/>
      <c r="G102" s="463"/>
    </row>
    <row r="103" spans="6:7" ht="12.75">
      <c r="F103" s="463"/>
      <c r="G103" s="463"/>
    </row>
    <row r="104" spans="6:7" ht="12.75">
      <c r="F104" s="463"/>
      <c r="G104" s="463"/>
    </row>
    <row r="105" spans="6:7" ht="12.75">
      <c r="F105" s="463"/>
      <c r="G105" s="463"/>
    </row>
    <row r="106" spans="6:7" ht="12.75">
      <c r="F106" s="463"/>
      <c r="G106" s="463"/>
    </row>
    <row r="107" spans="6:7" ht="12.75">
      <c r="F107" s="463"/>
      <c r="G107" s="463"/>
    </row>
    <row r="108" spans="6:7" ht="12.75">
      <c r="F108" s="463"/>
      <c r="G108" s="463"/>
    </row>
    <row r="109" spans="6:7" ht="12.75">
      <c r="F109" s="463"/>
      <c r="G109" s="463"/>
    </row>
    <row r="110" spans="6:7" ht="12.75">
      <c r="F110" s="463"/>
      <c r="G110" s="463"/>
    </row>
    <row r="111" spans="6:7" ht="12.75">
      <c r="F111" s="463"/>
      <c r="G111" s="463"/>
    </row>
    <row r="112" spans="6:7" ht="12.75">
      <c r="F112" s="463"/>
      <c r="G112" s="463"/>
    </row>
    <row r="113" spans="6:7" ht="12.75">
      <c r="F113" s="463"/>
      <c r="G113" s="463"/>
    </row>
    <row r="114" spans="6:7" ht="12.75">
      <c r="F114" s="463"/>
      <c r="G114" s="463"/>
    </row>
    <row r="115" spans="6:7" ht="12.75">
      <c r="F115" s="463"/>
      <c r="G115" s="463"/>
    </row>
    <row r="116" spans="6:7" ht="12.75">
      <c r="F116" s="463"/>
      <c r="G116" s="463"/>
    </row>
    <row r="117" spans="6:7" ht="12.75">
      <c r="F117" s="463"/>
      <c r="G117" s="463"/>
    </row>
    <row r="118" spans="6:7" ht="12.75">
      <c r="F118" s="463"/>
      <c r="G118" s="463"/>
    </row>
    <row r="119" spans="6:7" ht="12.75">
      <c r="F119" s="463"/>
      <c r="G119" s="463"/>
    </row>
    <row r="120" spans="6:7" ht="12.75">
      <c r="F120" s="463"/>
      <c r="G120" s="463"/>
    </row>
    <row r="121" spans="6:7" ht="12.75">
      <c r="F121" s="463"/>
      <c r="G121" s="463"/>
    </row>
    <row r="122" spans="6:7" ht="12.75">
      <c r="F122" s="463"/>
      <c r="G122" s="463"/>
    </row>
    <row r="123" spans="6:7" ht="12.75">
      <c r="F123" s="463"/>
      <c r="G123" s="463"/>
    </row>
    <row r="124" spans="6:7" ht="12.75">
      <c r="F124" s="463"/>
      <c r="G124" s="463"/>
    </row>
    <row r="125" spans="6:7" ht="12.75">
      <c r="F125" s="463"/>
      <c r="G125" s="463"/>
    </row>
    <row r="126" spans="6:7" ht="12.75">
      <c r="F126" s="463"/>
      <c r="G126" s="463"/>
    </row>
    <row r="127" spans="6:7" ht="12.75">
      <c r="F127" s="463"/>
      <c r="G127" s="463"/>
    </row>
    <row r="128" spans="6:7" ht="12.75">
      <c r="F128" s="463"/>
      <c r="G128" s="463"/>
    </row>
    <row r="129" spans="6:7" ht="12.75">
      <c r="F129" s="463"/>
      <c r="G129" s="463"/>
    </row>
    <row r="130" spans="6:7" ht="12.75">
      <c r="F130" s="463"/>
      <c r="G130" s="463"/>
    </row>
    <row r="131" spans="6:7" ht="12.75">
      <c r="F131" s="463"/>
      <c r="G131" s="463"/>
    </row>
    <row r="132" spans="6:7" ht="12.75">
      <c r="F132" s="463"/>
      <c r="G132" s="463"/>
    </row>
    <row r="133" spans="6:7" ht="12.75">
      <c r="F133" s="463"/>
      <c r="G133" s="463"/>
    </row>
    <row r="134" spans="6:7" ht="12.75">
      <c r="F134" s="463"/>
      <c r="G134" s="463"/>
    </row>
    <row r="135" spans="6:7" ht="12.75">
      <c r="F135" s="463"/>
      <c r="G135" s="463"/>
    </row>
    <row r="136" spans="6:7" ht="12.75">
      <c r="F136" s="463"/>
      <c r="G136" s="463"/>
    </row>
    <row r="137" spans="6:7" ht="12.75">
      <c r="F137" s="463"/>
      <c r="G137" s="463"/>
    </row>
    <row r="138" spans="6:7" ht="12.75">
      <c r="F138" s="463"/>
      <c r="G138" s="463"/>
    </row>
    <row r="139" spans="6:7" ht="12.75">
      <c r="F139" s="463"/>
      <c r="G139" s="463"/>
    </row>
    <row r="140" spans="6:7" ht="12.75">
      <c r="F140" s="463"/>
      <c r="G140" s="463"/>
    </row>
    <row r="141" spans="6:7" ht="12.75">
      <c r="F141" s="463"/>
      <c r="G141" s="463"/>
    </row>
    <row r="142" spans="6:7" ht="12.75">
      <c r="F142" s="463"/>
      <c r="G142" s="463"/>
    </row>
    <row r="143" spans="6:7" ht="12.75">
      <c r="F143" s="463"/>
      <c r="G143" s="463"/>
    </row>
    <row r="144" spans="6:7" ht="12.75">
      <c r="F144" s="463"/>
      <c r="G144" s="463"/>
    </row>
    <row r="145" spans="6:7" ht="12.75">
      <c r="F145" s="463"/>
      <c r="G145" s="463"/>
    </row>
    <row r="146" spans="6:7" ht="12.75">
      <c r="F146" s="463"/>
      <c r="G146" s="463"/>
    </row>
    <row r="147" spans="6:7" ht="12.75">
      <c r="F147" s="463"/>
      <c r="G147" s="463"/>
    </row>
    <row r="148" spans="6:7" ht="12.75">
      <c r="F148" s="463"/>
      <c r="G148" s="463"/>
    </row>
    <row r="149" spans="6:7" ht="12.75">
      <c r="F149" s="463"/>
      <c r="G149" s="463"/>
    </row>
    <row r="150" spans="6:7" ht="12.75">
      <c r="F150" s="463"/>
      <c r="G150" s="463"/>
    </row>
    <row r="151" spans="6:7" ht="12.75">
      <c r="F151" s="463"/>
      <c r="G151" s="463"/>
    </row>
    <row r="152" spans="6:7" ht="12.75">
      <c r="F152" s="463"/>
      <c r="G152" s="463"/>
    </row>
    <row r="153" spans="6:7" ht="12.75">
      <c r="F153" s="463"/>
      <c r="G153" s="463"/>
    </row>
    <row r="154" spans="6:7" ht="12.75">
      <c r="F154" s="463"/>
      <c r="G154" s="463"/>
    </row>
    <row r="155" spans="6:7" ht="12.75">
      <c r="F155" s="463"/>
      <c r="G155" s="463"/>
    </row>
    <row r="156" spans="6:7" ht="12.75">
      <c r="F156" s="463"/>
      <c r="G156" s="463"/>
    </row>
    <row r="157" spans="6:7" ht="12.75">
      <c r="F157" s="463"/>
      <c r="G157" s="463"/>
    </row>
    <row r="158" spans="6:7" ht="12.75">
      <c r="F158" s="463"/>
      <c r="G158" s="463"/>
    </row>
    <row r="159" spans="6:7" ht="12.75">
      <c r="F159" s="463"/>
      <c r="G159" s="463"/>
    </row>
    <row r="160" spans="6:7" ht="12.75">
      <c r="F160" s="463"/>
      <c r="G160" s="463"/>
    </row>
    <row r="161" spans="6:7" ht="12.75">
      <c r="F161" s="463"/>
      <c r="G161" s="463"/>
    </row>
    <row r="162" spans="6:7" ht="12.75">
      <c r="F162" s="463"/>
      <c r="G162" s="463"/>
    </row>
    <row r="163" spans="6:7" ht="12.75">
      <c r="F163" s="463"/>
      <c r="G163" s="463"/>
    </row>
    <row r="164" spans="6:7" ht="12.75">
      <c r="F164" s="463"/>
      <c r="G164" s="463"/>
    </row>
    <row r="165" spans="6:7" ht="12.75">
      <c r="F165" s="463"/>
      <c r="G165" s="463"/>
    </row>
    <row r="166" spans="6:7" ht="12.75">
      <c r="F166" s="463"/>
      <c r="G166" s="463"/>
    </row>
    <row r="167" spans="6:7" ht="12.75">
      <c r="F167" s="463"/>
      <c r="G167" s="463"/>
    </row>
    <row r="168" spans="6:7" ht="12.75">
      <c r="F168" s="463"/>
      <c r="G168" s="463"/>
    </row>
    <row r="169" spans="6:7" ht="12.75">
      <c r="F169" s="463"/>
      <c r="G169" s="463"/>
    </row>
    <row r="170" spans="6:7" ht="12.75">
      <c r="F170" s="463"/>
      <c r="G170" s="463"/>
    </row>
    <row r="171" spans="6:7" ht="12.75">
      <c r="F171" s="463"/>
      <c r="G171" s="463"/>
    </row>
    <row r="172" spans="6:7" ht="12.75">
      <c r="F172" s="463"/>
      <c r="G172" s="463"/>
    </row>
    <row r="173" spans="6:7" ht="12.75">
      <c r="F173" s="463"/>
      <c r="G173" s="463"/>
    </row>
    <row r="174" spans="6:7" ht="12.75">
      <c r="F174" s="463"/>
      <c r="G174" s="463"/>
    </row>
    <row r="175" spans="6:7" ht="12.75">
      <c r="F175" s="463"/>
      <c r="G175" s="463"/>
    </row>
    <row r="176" spans="6:7" ht="12.75">
      <c r="F176" s="463"/>
      <c r="G176" s="463"/>
    </row>
    <row r="177" spans="6:7" ht="12.75">
      <c r="F177" s="463"/>
      <c r="G177" s="463"/>
    </row>
    <row r="178" spans="6:7" ht="12.75">
      <c r="F178" s="463"/>
      <c r="G178" s="463"/>
    </row>
    <row r="179" spans="6:7" ht="12.75">
      <c r="F179" s="463"/>
      <c r="G179" s="463"/>
    </row>
    <row r="180" spans="6:7" ht="12.75">
      <c r="F180" s="463"/>
      <c r="G180" s="463"/>
    </row>
    <row r="181" spans="6:7" ht="12.75">
      <c r="F181" s="463"/>
      <c r="G181" s="463"/>
    </row>
    <row r="182" spans="6:7" ht="12.75">
      <c r="F182" s="463"/>
      <c r="G182" s="463"/>
    </row>
    <row r="183" spans="6:7" ht="12.75">
      <c r="F183" s="463"/>
      <c r="G183" s="463"/>
    </row>
    <row r="184" spans="6:7" ht="12.75">
      <c r="F184" s="463"/>
      <c r="G184" s="463"/>
    </row>
    <row r="185" spans="6:7" ht="12.75">
      <c r="F185" s="463"/>
      <c r="G185" s="463"/>
    </row>
    <row r="186" spans="6:7" ht="12.75">
      <c r="F186" s="463"/>
      <c r="G186" s="463"/>
    </row>
    <row r="187" spans="6:7" ht="12.75">
      <c r="F187" s="463"/>
      <c r="G187" s="463"/>
    </row>
    <row r="188" spans="6:7" ht="12.75">
      <c r="F188" s="463"/>
      <c r="G188" s="463"/>
    </row>
    <row r="189" spans="6:7" ht="12.75">
      <c r="F189" s="463"/>
      <c r="G189" s="463"/>
    </row>
    <row r="190" spans="6:7" ht="12.75">
      <c r="F190" s="463"/>
      <c r="G190" s="463"/>
    </row>
    <row r="191" spans="6:7" ht="12.75">
      <c r="F191" s="463"/>
      <c r="G191" s="463"/>
    </row>
    <row r="192" spans="6:7" ht="12.75">
      <c r="F192" s="463"/>
      <c r="G192" s="463"/>
    </row>
    <row r="193" spans="6:7" ht="12.75">
      <c r="F193" s="463"/>
      <c r="G193" s="463"/>
    </row>
    <row r="194" spans="6:7" ht="12.75">
      <c r="F194" s="463"/>
      <c r="G194" s="463"/>
    </row>
    <row r="195" spans="6:7" ht="12.75">
      <c r="F195" s="463"/>
      <c r="G195" s="463"/>
    </row>
    <row r="196" spans="6:7" ht="12.75">
      <c r="F196" s="463"/>
      <c r="G196" s="463"/>
    </row>
    <row r="197" spans="6:7" ht="12.75">
      <c r="F197" s="463"/>
      <c r="G197" s="463"/>
    </row>
    <row r="198" spans="6:7" ht="12.75">
      <c r="F198" s="463"/>
      <c r="G198" s="463"/>
    </row>
    <row r="199" spans="6:7" ht="12.75">
      <c r="F199" s="463"/>
      <c r="G199" s="463"/>
    </row>
    <row r="200" spans="6:7" ht="12.75">
      <c r="F200" s="463"/>
      <c r="G200" s="463"/>
    </row>
    <row r="201" spans="6:7" ht="12.75">
      <c r="F201" s="463"/>
      <c r="G201" s="463"/>
    </row>
    <row r="202" spans="6:7" ht="12.75">
      <c r="F202" s="463"/>
      <c r="G202" s="463"/>
    </row>
    <row r="203" spans="6:7" ht="12.75">
      <c r="F203" s="463"/>
      <c r="G203" s="463"/>
    </row>
    <row r="204" spans="6:7" ht="12.75">
      <c r="F204" s="463"/>
      <c r="G204" s="463"/>
    </row>
    <row r="205" spans="6:7" ht="12.75">
      <c r="F205" s="463"/>
      <c r="G205" s="463"/>
    </row>
    <row r="206" spans="6:7" ht="12.75">
      <c r="F206" s="463"/>
      <c r="G206" s="463"/>
    </row>
    <row r="207" spans="6:7" ht="12.75">
      <c r="F207" s="463"/>
      <c r="G207" s="463"/>
    </row>
    <row r="208" spans="6:7" ht="12.75">
      <c r="F208" s="463"/>
      <c r="G208" s="463"/>
    </row>
    <row r="209" spans="6:7" ht="12.75">
      <c r="F209" s="463"/>
      <c r="G209" s="463"/>
    </row>
    <row r="210" spans="6:7" ht="12.75">
      <c r="F210" s="463"/>
      <c r="G210" s="463"/>
    </row>
    <row r="211" spans="6:7" ht="12.75">
      <c r="F211" s="463"/>
      <c r="G211" s="463"/>
    </row>
    <row r="212" spans="6:7" ht="12.75">
      <c r="F212" s="463"/>
      <c r="G212" s="463"/>
    </row>
    <row r="213" spans="6:7" ht="12.75">
      <c r="F213" s="463"/>
      <c r="G213" s="463"/>
    </row>
    <row r="214" spans="6:7" ht="12.75">
      <c r="F214" s="463"/>
      <c r="G214" s="463"/>
    </row>
    <row r="215" spans="6:7" ht="12.75">
      <c r="F215" s="463"/>
      <c r="G215" s="463"/>
    </row>
    <row r="216" spans="6:7" ht="12.75">
      <c r="F216" s="463"/>
      <c r="G216" s="463"/>
    </row>
    <row r="217" spans="6:7" ht="12.75">
      <c r="F217" s="463"/>
      <c r="G217" s="463"/>
    </row>
    <row r="218" spans="6:7" ht="12.75">
      <c r="F218" s="463"/>
      <c r="G218" s="463"/>
    </row>
    <row r="219" spans="6:7" ht="12.75">
      <c r="F219" s="463"/>
      <c r="G219" s="463"/>
    </row>
    <row r="220" spans="6:7" ht="12.75">
      <c r="F220" s="463"/>
      <c r="G220" s="463"/>
    </row>
    <row r="221" spans="6:7" ht="12.75">
      <c r="F221" s="463"/>
      <c r="G221" s="463"/>
    </row>
    <row r="222" spans="6:7" ht="12.75">
      <c r="F222" s="463"/>
      <c r="G222" s="463"/>
    </row>
    <row r="223" spans="6:7" ht="12.75">
      <c r="F223" s="463"/>
      <c r="G223" s="463"/>
    </row>
    <row r="224" spans="6:7" ht="12.75">
      <c r="F224" s="463"/>
      <c r="G224" s="463"/>
    </row>
    <row r="225" spans="6:7" ht="12.75">
      <c r="F225" s="463"/>
      <c r="G225" s="463"/>
    </row>
    <row r="226" spans="6:7" ht="12.75">
      <c r="F226" s="463"/>
      <c r="G226" s="463"/>
    </row>
    <row r="227" spans="6:7" ht="12.75">
      <c r="F227" s="463"/>
      <c r="G227" s="463"/>
    </row>
    <row r="228" spans="6:7" ht="12.75">
      <c r="F228" s="463"/>
      <c r="G228" s="463"/>
    </row>
    <row r="229" spans="6:7" ht="12.75">
      <c r="F229" s="463"/>
      <c r="G229" s="463"/>
    </row>
    <row r="230" spans="6:7" ht="12.75">
      <c r="F230" s="463"/>
      <c r="G230" s="463"/>
    </row>
    <row r="231" spans="6:7" ht="12.75">
      <c r="F231" s="463"/>
      <c r="G231" s="463"/>
    </row>
    <row r="232" spans="6:7" ht="12.75">
      <c r="F232" s="463"/>
      <c r="G232" s="463"/>
    </row>
    <row r="233" spans="6:7" ht="12.75">
      <c r="F233" s="463"/>
      <c r="G233" s="463"/>
    </row>
    <row r="234" spans="6:7" ht="12.75">
      <c r="F234" s="463"/>
      <c r="G234" s="463"/>
    </row>
    <row r="235" spans="6:7" ht="12.75">
      <c r="F235" s="463"/>
      <c r="G235" s="463"/>
    </row>
    <row r="236" spans="6:7" ht="12.75">
      <c r="F236" s="463"/>
      <c r="G236" s="463"/>
    </row>
    <row r="237" spans="6:7" ht="12.75">
      <c r="F237" s="463"/>
      <c r="G237" s="463"/>
    </row>
    <row r="238" spans="6:7" ht="12.75">
      <c r="F238" s="463"/>
      <c r="G238" s="463"/>
    </row>
    <row r="239" spans="6:7" ht="12.75">
      <c r="F239" s="463"/>
      <c r="G239" s="463"/>
    </row>
    <row r="240" spans="6:7" ht="12.75">
      <c r="F240" s="463"/>
      <c r="G240" s="463"/>
    </row>
    <row r="241" spans="6:7" ht="12.75">
      <c r="F241" s="463"/>
      <c r="G241" s="463"/>
    </row>
    <row r="242" spans="6:7" ht="12.75">
      <c r="F242" s="463"/>
      <c r="G242" s="463"/>
    </row>
    <row r="243" spans="6:7" ht="12.75">
      <c r="F243" s="463"/>
      <c r="G243" s="463"/>
    </row>
    <row r="244" spans="6:7" ht="12.75">
      <c r="F244" s="463"/>
      <c r="G244" s="463"/>
    </row>
    <row r="245" spans="6:7" ht="12.75">
      <c r="F245" s="463"/>
      <c r="G245" s="463"/>
    </row>
    <row r="246" spans="6:7" ht="12.75">
      <c r="F246" s="463"/>
      <c r="G246" s="463"/>
    </row>
    <row r="247" spans="6:7" ht="12.75">
      <c r="F247" s="463"/>
      <c r="G247" s="463"/>
    </row>
    <row r="248" spans="6:7" ht="12.75">
      <c r="F248" s="463"/>
      <c r="G248" s="463"/>
    </row>
    <row r="249" spans="6:7" ht="12.75">
      <c r="F249" s="463"/>
      <c r="G249" s="463"/>
    </row>
    <row r="250" spans="6:7" ht="12.75">
      <c r="F250" s="463"/>
      <c r="G250" s="463"/>
    </row>
    <row r="251" spans="6:7" ht="12.75">
      <c r="F251" s="463"/>
      <c r="G251" s="463"/>
    </row>
    <row r="252" spans="6:7" ht="12.75">
      <c r="F252" s="463"/>
      <c r="G252" s="463"/>
    </row>
    <row r="253" spans="6:7" ht="12.75">
      <c r="F253" s="463"/>
      <c r="G253" s="463"/>
    </row>
    <row r="254" spans="6:7" ht="12.75">
      <c r="F254" s="463"/>
      <c r="G254" s="463"/>
    </row>
    <row r="255" spans="6:7" ht="12.75">
      <c r="F255" s="463"/>
      <c r="G255" s="463"/>
    </row>
    <row r="256" spans="6:7" ht="12.75">
      <c r="F256" s="463"/>
      <c r="G256" s="463"/>
    </row>
    <row r="257" spans="6:7" ht="12.75">
      <c r="F257" s="463"/>
      <c r="G257" s="463"/>
    </row>
    <row r="258" spans="6:7" ht="12.75">
      <c r="F258" s="463"/>
      <c r="G258" s="463"/>
    </row>
    <row r="259" spans="6:7" ht="12.75">
      <c r="F259" s="463"/>
      <c r="G259" s="463"/>
    </row>
    <row r="260" spans="6:7" ht="12.75">
      <c r="F260" s="463"/>
      <c r="G260" s="463"/>
    </row>
    <row r="261" spans="6:7" ht="12.75">
      <c r="F261" s="463"/>
      <c r="G261" s="463"/>
    </row>
    <row r="262" spans="6:7" ht="12.75">
      <c r="F262" s="463"/>
      <c r="G262" s="463"/>
    </row>
    <row r="263" spans="6:7" ht="12.75">
      <c r="F263" s="463"/>
      <c r="G263" s="463"/>
    </row>
    <row r="264" spans="6:7" ht="12.75">
      <c r="F264" s="463"/>
      <c r="G264" s="463"/>
    </row>
    <row r="265" spans="6:7" ht="12.75">
      <c r="F265" s="463"/>
      <c r="G265" s="463"/>
    </row>
    <row r="266" spans="6:7" ht="12.75">
      <c r="F266" s="463"/>
      <c r="G266" s="463"/>
    </row>
    <row r="267" spans="6:7" ht="12.75">
      <c r="F267" s="463"/>
      <c r="G267" s="463"/>
    </row>
    <row r="268" spans="6:7" ht="12.75">
      <c r="F268" s="463"/>
      <c r="G268" s="463"/>
    </row>
    <row r="269" spans="6:7" ht="12.75">
      <c r="F269" s="463"/>
      <c r="G269" s="463"/>
    </row>
    <row r="270" spans="6:7" ht="12.75">
      <c r="F270" s="463"/>
      <c r="G270" s="463"/>
    </row>
    <row r="271" spans="6:7" ht="12.75">
      <c r="F271" s="463"/>
      <c r="G271" s="463"/>
    </row>
    <row r="272" spans="6:7" ht="12.75">
      <c r="F272" s="463"/>
      <c r="G272" s="463"/>
    </row>
    <row r="273" spans="6:7" ht="12.75">
      <c r="F273" s="463"/>
      <c r="G273" s="463"/>
    </row>
    <row r="274" spans="6:7" ht="12.75">
      <c r="F274" s="463"/>
      <c r="G274" s="463"/>
    </row>
    <row r="275" spans="6:7" ht="12.75">
      <c r="F275" s="463"/>
      <c r="G275" s="463"/>
    </row>
    <row r="276" spans="6:7" ht="12.75">
      <c r="F276" s="463"/>
      <c r="G276" s="463"/>
    </row>
    <row r="277" spans="6:7" ht="12.75">
      <c r="F277" s="463"/>
      <c r="G277" s="463"/>
    </row>
    <row r="278" spans="6:7" ht="12.75">
      <c r="F278" s="463"/>
      <c r="G278" s="463"/>
    </row>
    <row r="279" spans="6:7" ht="12.75">
      <c r="F279" s="463"/>
      <c r="G279" s="463"/>
    </row>
    <row r="280" spans="6:7" ht="12.75">
      <c r="F280" s="463"/>
      <c r="G280" s="463"/>
    </row>
    <row r="281" spans="6:7" ht="12.75">
      <c r="F281" s="463"/>
      <c r="G281" s="463"/>
    </row>
    <row r="282" spans="6:7" ht="12.75">
      <c r="F282" s="463"/>
      <c r="G282" s="463"/>
    </row>
    <row r="283" spans="6:7" ht="12.75">
      <c r="F283" s="463"/>
      <c r="G283" s="463"/>
    </row>
    <row r="284" spans="6:7" ht="12.75">
      <c r="F284" s="463"/>
      <c r="G284" s="463"/>
    </row>
    <row r="285" spans="6:7" ht="12.75">
      <c r="F285" s="463"/>
      <c r="G285" s="463"/>
    </row>
    <row r="286" spans="6:7" ht="12.75">
      <c r="F286" s="463"/>
      <c r="G286" s="463"/>
    </row>
    <row r="287" spans="6:7" ht="12.75">
      <c r="F287" s="463"/>
      <c r="G287" s="463"/>
    </row>
    <row r="288" spans="6:7" ht="12.75">
      <c r="F288" s="463"/>
      <c r="G288" s="463"/>
    </row>
    <row r="289" spans="6:7" ht="12.75">
      <c r="F289" s="463"/>
      <c r="G289" s="463"/>
    </row>
    <row r="290" spans="6:7" ht="12.75">
      <c r="F290" s="463"/>
      <c r="G290" s="463"/>
    </row>
    <row r="291" spans="6:7" ht="12.75">
      <c r="F291" s="463"/>
      <c r="G291" s="463"/>
    </row>
    <row r="292" spans="6:7" ht="12.75">
      <c r="F292" s="463"/>
      <c r="G292" s="463"/>
    </row>
    <row r="293" spans="6:7" ht="12.75">
      <c r="F293" s="463"/>
      <c r="G293" s="463"/>
    </row>
    <row r="294" spans="6:7" ht="12.75">
      <c r="F294" s="463"/>
      <c r="G294" s="463"/>
    </row>
    <row r="295" spans="6:7" ht="12.75">
      <c r="F295" s="463"/>
      <c r="G295" s="463"/>
    </row>
    <row r="296" spans="6:7" ht="12.75">
      <c r="F296" s="463"/>
      <c r="G296" s="463"/>
    </row>
    <row r="297" spans="6:7" ht="12.75">
      <c r="F297" s="463"/>
      <c r="G297" s="463"/>
    </row>
    <row r="298" spans="6:7" ht="12.75">
      <c r="F298" s="463"/>
      <c r="G298" s="463"/>
    </row>
    <row r="299" spans="6:7" ht="12.75">
      <c r="F299" s="463"/>
      <c r="G299" s="463"/>
    </row>
    <row r="300" spans="6:7" ht="12.75">
      <c r="F300" s="463"/>
      <c r="G300" s="463"/>
    </row>
    <row r="301" spans="6:7" ht="12.75">
      <c r="F301" s="463"/>
      <c r="G301" s="463"/>
    </row>
    <row r="302" spans="6:7" ht="12.75">
      <c r="F302" s="463"/>
      <c r="G302" s="463"/>
    </row>
    <row r="303" spans="6:7" ht="12.75">
      <c r="F303" s="463"/>
      <c r="G303" s="463"/>
    </row>
    <row r="304" spans="6:7" ht="12.75">
      <c r="F304" s="463"/>
      <c r="G304" s="463"/>
    </row>
    <row r="305" spans="6:7" ht="12.75">
      <c r="F305" s="463"/>
      <c r="G305" s="463"/>
    </row>
    <row r="306" spans="6:7" ht="12.75">
      <c r="F306" s="463"/>
      <c r="G306" s="463"/>
    </row>
    <row r="307" spans="6:7" ht="12.75">
      <c r="F307" s="463"/>
      <c r="G307" s="463"/>
    </row>
    <row r="308" spans="6:7" ht="12.75">
      <c r="F308" s="463"/>
      <c r="G308" s="463"/>
    </row>
    <row r="309" spans="6:7" ht="12.75">
      <c r="F309" s="463"/>
      <c r="G309" s="463"/>
    </row>
    <row r="310" spans="6:7" ht="12.75">
      <c r="F310" s="463"/>
      <c r="G310" s="463"/>
    </row>
    <row r="311" spans="6:7" ht="12.75">
      <c r="F311" s="463"/>
      <c r="G311" s="463"/>
    </row>
    <row r="312" spans="6:7" ht="12.75">
      <c r="F312" s="463"/>
      <c r="G312" s="463"/>
    </row>
    <row r="313" spans="6:7" ht="12.75">
      <c r="F313" s="463"/>
      <c r="G313" s="463"/>
    </row>
    <row r="314" spans="6:7" ht="12.75">
      <c r="F314" s="463"/>
      <c r="G314" s="463"/>
    </row>
    <row r="315" spans="6:7" ht="12.75">
      <c r="F315" s="463"/>
      <c r="G315" s="463"/>
    </row>
    <row r="316" spans="6:7" ht="12.75">
      <c r="F316" s="463"/>
      <c r="G316" s="463"/>
    </row>
    <row r="317" spans="6:7" ht="12.75">
      <c r="F317" s="463"/>
      <c r="G317" s="463"/>
    </row>
    <row r="318" spans="6:7" ht="12.75">
      <c r="F318" s="463"/>
      <c r="G318" s="463"/>
    </row>
    <row r="319" spans="6:7" ht="12.75">
      <c r="F319" s="463"/>
      <c r="G319" s="463"/>
    </row>
    <row r="320" spans="6:7" ht="12.75">
      <c r="F320" s="463"/>
      <c r="G320" s="463"/>
    </row>
    <row r="321" spans="6:7" ht="12.75">
      <c r="F321" s="463"/>
      <c r="G321" s="463"/>
    </row>
    <row r="322" spans="6:7" ht="12.75">
      <c r="F322" s="463"/>
      <c r="G322" s="463"/>
    </row>
    <row r="323" spans="6:7" ht="12.75">
      <c r="F323" s="463"/>
      <c r="G323" s="463"/>
    </row>
    <row r="324" spans="6:7" ht="12.75">
      <c r="F324" s="463"/>
      <c r="G324" s="463"/>
    </row>
    <row r="325" spans="6:7" ht="12.75">
      <c r="F325" s="463"/>
      <c r="G325" s="463"/>
    </row>
    <row r="326" spans="6:7" ht="12.75">
      <c r="F326" s="463"/>
      <c r="G326" s="463"/>
    </row>
    <row r="327" spans="6:7" ht="12.75">
      <c r="F327" s="463"/>
      <c r="G327" s="463"/>
    </row>
    <row r="328" spans="6:7" ht="12.75">
      <c r="F328" s="463"/>
      <c r="G328" s="463"/>
    </row>
    <row r="329" spans="6:7" ht="12.75">
      <c r="F329" s="463"/>
      <c r="G329" s="463"/>
    </row>
    <row r="330" spans="6:7" ht="12.75">
      <c r="F330" s="463"/>
      <c r="G330" s="463"/>
    </row>
    <row r="331" spans="6:7" ht="12.75">
      <c r="F331" s="463"/>
      <c r="G331" s="463"/>
    </row>
    <row r="332" spans="6:7" ht="12.75">
      <c r="F332" s="463"/>
      <c r="G332" s="463"/>
    </row>
    <row r="333" spans="6:7" ht="12.75">
      <c r="F333" s="463"/>
      <c r="G333" s="463"/>
    </row>
    <row r="334" spans="6:7" ht="12.75">
      <c r="F334" s="463"/>
      <c r="G334" s="463"/>
    </row>
    <row r="335" spans="6:7" ht="12.75">
      <c r="F335" s="463"/>
      <c r="G335" s="463"/>
    </row>
    <row r="336" spans="6:7" ht="12.75">
      <c r="F336" s="463"/>
      <c r="G336" s="463"/>
    </row>
    <row r="337" spans="6:7" ht="12.75">
      <c r="F337" s="463"/>
      <c r="G337" s="463"/>
    </row>
    <row r="338" spans="6:7" ht="12.75">
      <c r="F338" s="463"/>
      <c r="G338" s="463"/>
    </row>
    <row r="339" spans="6:7" ht="12.75">
      <c r="F339" s="463"/>
      <c r="G339" s="463"/>
    </row>
    <row r="340" spans="6:7" ht="12.75">
      <c r="F340" s="463"/>
      <c r="G340" s="463"/>
    </row>
    <row r="341" spans="6:7" ht="12.75">
      <c r="F341" s="463"/>
      <c r="G341" s="463"/>
    </row>
    <row r="342" spans="6:7" ht="12.75">
      <c r="F342" s="463"/>
      <c r="G342" s="463"/>
    </row>
    <row r="343" spans="6:7" ht="12.75">
      <c r="F343" s="463"/>
      <c r="G343" s="463"/>
    </row>
    <row r="344" spans="6:7" ht="12.75">
      <c r="F344" s="463"/>
      <c r="G344" s="463"/>
    </row>
    <row r="345" spans="6:7" ht="12.75">
      <c r="F345" s="463"/>
      <c r="G345" s="463"/>
    </row>
    <row r="346" spans="6:7" ht="12.75">
      <c r="F346" s="463"/>
      <c r="G346" s="463"/>
    </row>
    <row r="347" spans="6:7" ht="12.75">
      <c r="F347" s="463"/>
      <c r="G347" s="463"/>
    </row>
    <row r="348" spans="6:7" ht="12.75">
      <c r="F348" s="463"/>
      <c r="G348" s="463"/>
    </row>
    <row r="349" spans="6:7" ht="12.75">
      <c r="F349" s="463"/>
      <c r="G349" s="463"/>
    </row>
    <row r="350" spans="6:7" ht="12.75">
      <c r="F350" s="463"/>
      <c r="G350" s="463"/>
    </row>
    <row r="351" spans="6:7" ht="12.75">
      <c r="F351" s="463"/>
      <c r="G351" s="463"/>
    </row>
    <row r="352" spans="6:7" ht="12.75">
      <c r="F352" s="463"/>
      <c r="G352" s="463"/>
    </row>
    <row r="353" spans="6:7" ht="12.75">
      <c r="F353" s="463"/>
      <c r="G353" s="463"/>
    </row>
    <row r="354" spans="6:7" ht="12.75">
      <c r="F354" s="463"/>
      <c r="G354" s="463"/>
    </row>
    <row r="355" spans="6:7" ht="12.75">
      <c r="F355" s="463"/>
      <c r="G355" s="463"/>
    </row>
    <row r="356" spans="6:7" ht="12.75">
      <c r="F356" s="463"/>
      <c r="G356" s="463"/>
    </row>
    <row r="357" spans="6:7" ht="12.75">
      <c r="F357" s="463"/>
      <c r="G357" s="463"/>
    </row>
    <row r="358" spans="6:7" ht="12.75">
      <c r="F358" s="463"/>
      <c r="G358" s="463"/>
    </row>
    <row r="359" spans="6:7" ht="12.75">
      <c r="F359" s="463"/>
      <c r="G359" s="463"/>
    </row>
    <row r="360" spans="6:7" ht="12.75">
      <c r="F360" s="463"/>
      <c r="G360" s="463"/>
    </row>
    <row r="361" spans="6:7" ht="12.75">
      <c r="F361" s="463"/>
      <c r="G361" s="463"/>
    </row>
    <row r="362" spans="6:7" ht="12.75">
      <c r="F362" s="463"/>
      <c r="G362" s="463"/>
    </row>
    <row r="363" spans="6:7" ht="12.75">
      <c r="F363" s="463"/>
      <c r="G363" s="463"/>
    </row>
    <row r="364" spans="6:7" ht="12.75">
      <c r="F364" s="463"/>
      <c r="G364" s="463"/>
    </row>
    <row r="365" spans="6:7" ht="12.75">
      <c r="F365" s="463"/>
      <c r="G365" s="463"/>
    </row>
    <row r="366" spans="6:7" ht="12.75">
      <c r="F366" s="463"/>
      <c r="G366" s="463"/>
    </row>
    <row r="367" spans="6:7" ht="12.75">
      <c r="F367" s="463"/>
      <c r="G367" s="463"/>
    </row>
    <row r="368" spans="6:7" ht="12.75">
      <c r="F368" s="463"/>
      <c r="G368" s="463"/>
    </row>
    <row r="369" spans="6:7" ht="12.75">
      <c r="F369" s="463"/>
      <c r="G369" s="463"/>
    </row>
    <row r="370" spans="6:7" ht="12.75">
      <c r="F370" s="463"/>
      <c r="G370" s="463"/>
    </row>
    <row r="371" spans="6:7" ht="12.75">
      <c r="F371" s="463"/>
      <c r="G371" s="463"/>
    </row>
    <row r="372" spans="6:7" ht="12.75">
      <c r="F372" s="463"/>
      <c r="G372" s="463"/>
    </row>
    <row r="373" spans="6:7" ht="12.75">
      <c r="F373" s="463"/>
      <c r="G373" s="463"/>
    </row>
    <row r="374" spans="6:7" ht="12.75">
      <c r="F374" s="463"/>
      <c r="G374" s="463"/>
    </row>
    <row r="375" spans="6:7" ht="12.75">
      <c r="F375" s="463"/>
      <c r="G375" s="463"/>
    </row>
    <row r="376" spans="6:7" ht="12.75">
      <c r="F376" s="463"/>
      <c r="G376" s="463"/>
    </row>
    <row r="377" spans="6:7" ht="12.75">
      <c r="F377" s="463"/>
      <c r="G377" s="463"/>
    </row>
    <row r="378" spans="6:7" ht="12.75">
      <c r="F378" s="463"/>
      <c r="G378" s="463"/>
    </row>
    <row r="379" spans="6:7" ht="12.75">
      <c r="F379" s="463"/>
      <c r="G379" s="463"/>
    </row>
    <row r="380" spans="6:7" ht="12.75">
      <c r="F380" s="463"/>
      <c r="G380" s="463"/>
    </row>
    <row r="381" spans="6:7" ht="12.75">
      <c r="F381" s="463"/>
      <c r="G381" s="463"/>
    </row>
    <row r="382" spans="6:7" ht="12.75">
      <c r="F382" s="463"/>
      <c r="G382" s="463"/>
    </row>
    <row r="383" spans="6:7" ht="12.75">
      <c r="F383" s="463"/>
      <c r="G383" s="463"/>
    </row>
    <row r="384" spans="6:7" ht="12.75">
      <c r="F384" s="463"/>
      <c r="G384" s="463"/>
    </row>
    <row r="385" spans="6:7" ht="12.75">
      <c r="F385" s="463"/>
      <c r="G385" s="463"/>
    </row>
    <row r="386" spans="6:7" ht="12.75">
      <c r="F386" s="463"/>
      <c r="G386" s="463"/>
    </row>
    <row r="387" spans="6:7" ht="12.75">
      <c r="F387" s="463"/>
      <c r="G387" s="463"/>
    </row>
    <row r="388" spans="6:7" ht="12.75">
      <c r="F388" s="463"/>
      <c r="G388" s="463"/>
    </row>
    <row r="389" spans="6:7" ht="12.75">
      <c r="F389" s="463"/>
      <c r="G389" s="463"/>
    </row>
    <row r="390" spans="6:7" ht="12.75">
      <c r="F390" s="463"/>
      <c r="G390" s="463"/>
    </row>
    <row r="391" spans="6:7" ht="12.75">
      <c r="F391" s="463"/>
      <c r="G391" s="463"/>
    </row>
    <row r="392" spans="6:7" ht="12.75">
      <c r="F392" s="463"/>
      <c r="G392" s="463"/>
    </row>
    <row r="393" spans="6:7" ht="12.75">
      <c r="F393" s="463"/>
      <c r="G393" s="463"/>
    </row>
    <row r="394" spans="6:7" ht="12.75">
      <c r="F394" s="463"/>
      <c r="G394" s="463"/>
    </row>
    <row r="395" spans="6:7" ht="12.75">
      <c r="F395" s="463"/>
      <c r="G395" s="463"/>
    </row>
    <row r="396" spans="6:7" ht="12.75">
      <c r="F396" s="463"/>
      <c r="G396" s="463"/>
    </row>
    <row r="397" spans="6:7" ht="12.75">
      <c r="F397" s="463"/>
      <c r="G397" s="463"/>
    </row>
    <row r="398" spans="6:7" ht="12.75">
      <c r="F398" s="463"/>
      <c r="G398" s="463"/>
    </row>
    <row r="399" spans="6:7" ht="12.75">
      <c r="F399" s="463"/>
      <c r="G399" s="463"/>
    </row>
    <row r="400" spans="6:7" ht="12.75">
      <c r="F400" s="463"/>
      <c r="G400" s="463"/>
    </row>
    <row r="401" spans="6:7" ht="12.75">
      <c r="F401" s="463"/>
      <c r="G401" s="463"/>
    </row>
    <row r="402" spans="6:7" ht="12.75">
      <c r="F402" s="463"/>
      <c r="G402" s="463"/>
    </row>
    <row r="403" spans="6:7" ht="12.75">
      <c r="F403" s="463"/>
      <c r="G403" s="463"/>
    </row>
    <row r="404" spans="6:7" ht="12.75">
      <c r="F404" s="463"/>
      <c r="G404" s="463"/>
    </row>
    <row r="405" spans="6:7" ht="12.75">
      <c r="F405" s="463"/>
      <c r="G405" s="463"/>
    </row>
    <row r="406" spans="6:7" ht="12.75">
      <c r="F406" s="463"/>
      <c r="G406" s="463"/>
    </row>
    <row r="407" spans="6:7" ht="12.75">
      <c r="F407" s="463"/>
      <c r="G407" s="463"/>
    </row>
    <row r="408" spans="6:7" ht="12.75">
      <c r="F408" s="463"/>
      <c r="G408" s="463"/>
    </row>
    <row r="409" spans="6:7" ht="12.75">
      <c r="F409" s="463"/>
      <c r="G409" s="463"/>
    </row>
    <row r="410" spans="6:7" ht="12.75">
      <c r="F410" s="463"/>
      <c r="G410" s="463"/>
    </row>
    <row r="411" spans="6:7" ht="12.75">
      <c r="F411" s="463"/>
      <c r="G411" s="463"/>
    </row>
    <row r="412" spans="6:7" ht="12.75">
      <c r="F412" s="463"/>
      <c r="G412" s="463"/>
    </row>
    <row r="413" spans="6:7" ht="12.75">
      <c r="F413" s="463"/>
      <c r="G413" s="463"/>
    </row>
    <row r="414" spans="6:7" ht="12.75">
      <c r="F414" s="463"/>
      <c r="G414" s="463"/>
    </row>
    <row r="415" spans="6:7" ht="12.75">
      <c r="F415" s="463"/>
      <c r="G415" s="463"/>
    </row>
    <row r="416" spans="6:7" ht="12.75">
      <c r="F416" s="463"/>
      <c r="G416" s="463"/>
    </row>
    <row r="417" spans="6:7" ht="12.75">
      <c r="F417" s="463"/>
      <c r="G417" s="463"/>
    </row>
    <row r="418" spans="6:7" ht="12.75">
      <c r="F418" s="463"/>
      <c r="G418" s="463"/>
    </row>
    <row r="419" spans="6:7" ht="12.75">
      <c r="F419" s="463"/>
      <c r="G419" s="463"/>
    </row>
    <row r="420" spans="6:7" ht="12.75">
      <c r="F420" s="463"/>
      <c r="G420" s="463"/>
    </row>
    <row r="421" spans="6:7" ht="12.75">
      <c r="F421" s="463"/>
      <c r="G421" s="463"/>
    </row>
    <row r="422" spans="6:7" ht="12.75">
      <c r="F422" s="463"/>
      <c r="G422" s="463"/>
    </row>
    <row r="423" spans="6:7" ht="12.75">
      <c r="F423" s="463"/>
      <c r="G423" s="463"/>
    </row>
    <row r="424" spans="6:7" ht="12.75">
      <c r="F424" s="463"/>
      <c r="G424" s="463"/>
    </row>
    <row r="425" spans="6:7" ht="12.75">
      <c r="F425" s="463"/>
      <c r="G425" s="463"/>
    </row>
    <row r="426" spans="6:7" ht="12.75">
      <c r="F426" s="463"/>
      <c r="G426" s="463"/>
    </row>
    <row r="427" spans="6:7" ht="12.75">
      <c r="F427" s="463"/>
      <c r="G427" s="463"/>
    </row>
    <row r="428" spans="6:7" ht="12.75">
      <c r="F428" s="463"/>
      <c r="G428" s="463"/>
    </row>
    <row r="429" spans="6:7" ht="12.75">
      <c r="F429" s="463"/>
      <c r="G429" s="463"/>
    </row>
    <row r="430" spans="6:7" ht="12.75">
      <c r="F430" s="463"/>
      <c r="G430" s="463"/>
    </row>
    <row r="431" spans="6:7" ht="12.75">
      <c r="F431" s="463"/>
      <c r="G431" s="463"/>
    </row>
    <row r="432" spans="6:7" ht="12.75">
      <c r="F432" s="463"/>
      <c r="G432" s="463"/>
    </row>
    <row r="433" spans="6:7" ht="12.75">
      <c r="F433" s="463"/>
      <c r="G433" s="463"/>
    </row>
    <row r="434" spans="6:7" ht="12.75">
      <c r="F434" s="463"/>
      <c r="G434" s="463"/>
    </row>
    <row r="435" spans="6:7" ht="12.75">
      <c r="F435" s="463"/>
      <c r="G435" s="463"/>
    </row>
    <row r="436" spans="6:7" ht="12.75">
      <c r="F436" s="463"/>
      <c r="G436" s="463"/>
    </row>
    <row r="437" spans="6:7" ht="12.75">
      <c r="F437" s="463"/>
      <c r="G437" s="463"/>
    </row>
    <row r="438" spans="6:7" ht="12.75">
      <c r="F438" s="463"/>
      <c r="G438" s="463"/>
    </row>
    <row r="439" spans="6:7" ht="12.75">
      <c r="F439" s="463"/>
      <c r="G439" s="463"/>
    </row>
    <row r="440" spans="6:7" ht="12.75">
      <c r="F440" s="463"/>
      <c r="G440" s="463"/>
    </row>
    <row r="441" spans="6:7" ht="12.75">
      <c r="F441" s="463"/>
      <c r="G441" s="463"/>
    </row>
    <row r="442" spans="6:7" ht="12.75">
      <c r="F442" s="463"/>
      <c r="G442" s="463"/>
    </row>
    <row r="443" spans="6:7" ht="12.75">
      <c r="F443" s="463"/>
      <c r="G443" s="463"/>
    </row>
    <row r="444" spans="6:7" ht="12.75">
      <c r="F444" s="463"/>
      <c r="G444" s="463"/>
    </row>
    <row r="445" spans="6:7" ht="12.75">
      <c r="F445" s="463"/>
      <c r="G445" s="463"/>
    </row>
    <row r="446" spans="6:7" ht="12.75">
      <c r="F446" s="463"/>
      <c r="G446" s="463"/>
    </row>
    <row r="447" spans="6:7" ht="12.75">
      <c r="F447" s="463"/>
      <c r="G447" s="463"/>
    </row>
    <row r="448" spans="6:7" ht="12.75">
      <c r="F448" s="463"/>
      <c r="G448" s="463"/>
    </row>
    <row r="449" spans="6:7" ht="12.75">
      <c r="F449" s="463"/>
      <c r="G449" s="463"/>
    </row>
    <row r="450" spans="6:7" ht="12.75">
      <c r="F450" s="463"/>
      <c r="G450" s="463"/>
    </row>
    <row r="451" spans="6:7" ht="12.75">
      <c r="F451" s="463"/>
      <c r="G451" s="463"/>
    </row>
    <row r="452" spans="6:7" ht="12.75">
      <c r="F452" s="463"/>
      <c r="G452" s="463"/>
    </row>
    <row r="453" spans="6:7" ht="12.75">
      <c r="F453" s="463"/>
      <c r="G453" s="463"/>
    </row>
    <row r="454" spans="6:7" ht="12.75">
      <c r="F454" s="463"/>
      <c r="G454" s="463"/>
    </row>
    <row r="455" spans="6:7" ht="12.75">
      <c r="F455" s="463"/>
      <c r="G455" s="463"/>
    </row>
    <row r="456" spans="6:7" ht="12.75">
      <c r="F456" s="463"/>
      <c r="G456" s="463"/>
    </row>
    <row r="457" spans="6:7" ht="12.75">
      <c r="F457" s="463"/>
      <c r="G457" s="463"/>
    </row>
    <row r="458" spans="6:7" ht="12.75">
      <c r="F458" s="463"/>
      <c r="G458" s="463"/>
    </row>
    <row r="459" spans="6:7" ht="12.75">
      <c r="F459" s="463"/>
      <c r="G459" s="463"/>
    </row>
    <row r="460" spans="6:7" ht="12.75">
      <c r="F460" s="463"/>
      <c r="G460" s="463"/>
    </row>
    <row r="461" spans="6:7" ht="12.75">
      <c r="F461" s="463"/>
      <c r="G461" s="463"/>
    </row>
    <row r="462" spans="6:7" ht="12.75">
      <c r="F462" s="463"/>
      <c r="G462" s="463"/>
    </row>
    <row r="463" spans="6:7" ht="12.75">
      <c r="F463" s="463"/>
      <c r="G463" s="463"/>
    </row>
    <row r="464" spans="6:7" ht="12.75">
      <c r="F464" s="463"/>
      <c r="G464" s="463"/>
    </row>
    <row r="465" spans="6:7" ht="12.75">
      <c r="F465" s="463"/>
      <c r="G465" s="463"/>
    </row>
    <row r="466" spans="6:7" ht="12.75">
      <c r="F466" s="463"/>
      <c r="G466" s="463"/>
    </row>
    <row r="467" spans="6:7" ht="12.75">
      <c r="F467" s="463"/>
      <c r="G467" s="463"/>
    </row>
    <row r="468" spans="6:7" ht="12.75">
      <c r="F468" s="463"/>
      <c r="G468" s="463"/>
    </row>
    <row r="469" spans="6:7" ht="12.75">
      <c r="F469" s="463"/>
      <c r="G469" s="463"/>
    </row>
    <row r="470" spans="6:7" ht="12.75">
      <c r="F470" s="463"/>
      <c r="G470" s="463"/>
    </row>
    <row r="471" spans="6:7" ht="12.75">
      <c r="F471" s="463"/>
      <c r="G471" s="463"/>
    </row>
    <row r="472" spans="6:7" ht="12.75">
      <c r="F472" s="463"/>
      <c r="G472" s="463"/>
    </row>
    <row r="473" spans="6:7" ht="12.75">
      <c r="F473" s="463"/>
      <c r="G473" s="463"/>
    </row>
    <row r="474" spans="6:7" ht="12.75">
      <c r="F474" s="463"/>
      <c r="G474" s="463"/>
    </row>
    <row r="475" spans="6:7" ht="12.75">
      <c r="F475" s="463"/>
      <c r="G475" s="463"/>
    </row>
    <row r="476" spans="6:7" ht="12.75">
      <c r="F476" s="463"/>
      <c r="G476" s="463"/>
    </row>
    <row r="477" spans="6:7" ht="12.75">
      <c r="F477" s="463"/>
      <c r="G477" s="463"/>
    </row>
    <row r="478" spans="6:7" ht="12.75">
      <c r="F478" s="463"/>
      <c r="G478" s="463"/>
    </row>
    <row r="479" spans="6:7" ht="12.75">
      <c r="F479" s="463"/>
      <c r="G479" s="463"/>
    </row>
    <row r="480" spans="6:7" ht="12.75">
      <c r="F480" s="463"/>
      <c r="G480" s="463"/>
    </row>
    <row r="481" spans="6:7" ht="12.75">
      <c r="F481" s="463"/>
      <c r="G481" s="463"/>
    </row>
    <row r="482" spans="6:7" ht="12.75">
      <c r="F482" s="463"/>
      <c r="G482" s="463"/>
    </row>
    <row r="483" spans="6:7" ht="12.75">
      <c r="F483" s="463"/>
      <c r="G483" s="463"/>
    </row>
    <row r="484" spans="6:7" ht="12.75">
      <c r="F484" s="463"/>
      <c r="G484" s="463"/>
    </row>
    <row r="485" spans="6:7" ht="12.75">
      <c r="F485" s="463"/>
      <c r="G485" s="463"/>
    </row>
    <row r="486" spans="6:7" ht="12.75">
      <c r="F486" s="463"/>
      <c r="G486" s="463"/>
    </row>
    <row r="487" spans="6:7" ht="12.75">
      <c r="F487" s="463"/>
      <c r="G487" s="463"/>
    </row>
    <row r="488" spans="6:7" ht="12.75">
      <c r="F488" s="463"/>
      <c r="G488" s="463"/>
    </row>
    <row r="489" spans="6:7" ht="12.75">
      <c r="F489" s="463"/>
      <c r="G489" s="463"/>
    </row>
    <row r="490" spans="6:7" ht="12.75">
      <c r="F490" s="463"/>
      <c r="G490" s="463"/>
    </row>
    <row r="491" spans="6:7" ht="12.75">
      <c r="F491" s="463"/>
      <c r="G491" s="463"/>
    </row>
    <row r="492" spans="6:7" ht="12.75">
      <c r="F492" s="463"/>
      <c r="G492" s="463"/>
    </row>
    <row r="493" spans="6:7" ht="12.75">
      <c r="F493" s="463"/>
      <c r="G493" s="463"/>
    </row>
    <row r="494" spans="6:7" ht="12.75">
      <c r="F494" s="463"/>
      <c r="G494" s="463"/>
    </row>
    <row r="495" spans="6:7" ht="12.75">
      <c r="F495" s="463"/>
      <c r="G495" s="463"/>
    </row>
    <row r="496" spans="6:7" ht="12.75">
      <c r="F496" s="463"/>
      <c r="G496" s="463"/>
    </row>
    <row r="497" spans="6:7" ht="12.75">
      <c r="F497" s="463"/>
      <c r="G497" s="463"/>
    </row>
    <row r="498" spans="6:7" ht="12.75">
      <c r="F498" s="463"/>
      <c r="G498" s="463"/>
    </row>
    <row r="499" spans="6:7" ht="12.75">
      <c r="F499" s="463"/>
      <c r="G499" s="463"/>
    </row>
    <row r="500" spans="6:7" ht="12.75">
      <c r="F500" s="463"/>
      <c r="G500" s="463"/>
    </row>
    <row r="501" spans="6:7" ht="12.75">
      <c r="F501" s="463"/>
      <c r="G501" s="463"/>
    </row>
    <row r="502" spans="6:7" ht="12.75">
      <c r="F502" s="463"/>
      <c r="G502" s="463"/>
    </row>
    <row r="503" spans="6:7" ht="12.75">
      <c r="F503" s="463"/>
      <c r="G503" s="463"/>
    </row>
    <row r="504" spans="6:7" ht="12.75">
      <c r="F504" s="463"/>
      <c r="G504" s="463"/>
    </row>
    <row r="505" spans="6:7" ht="12.75">
      <c r="F505" s="463"/>
      <c r="G505" s="463"/>
    </row>
    <row r="506" spans="6:7" ht="12.75">
      <c r="F506" s="463"/>
      <c r="G506" s="463"/>
    </row>
    <row r="507" spans="6:7" ht="12.75">
      <c r="F507" s="463"/>
      <c r="G507" s="463"/>
    </row>
    <row r="508" spans="6:7" ht="12.75">
      <c r="F508" s="463"/>
      <c r="G508" s="463"/>
    </row>
    <row r="509" spans="6:7" ht="12.75">
      <c r="F509" s="463"/>
      <c r="G509" s="463"/>
    </row>
    <row r="510" spans="6:7" ht="12.75">
      <c r="F510" s="463"/>
      <c r="G510" s="463"/>
    </row>
    <row r="511" spans="6:7" ht="12.75">
      <c r="F511" s="463"/>
      <c r="G511" s="463"/>
    </row>
    <row r="512" spans="6:7" ht="12.75">
      <c r="F512" s="463"/>
      <c r="G512" s="463"/>
    </row>
    <row r="513" spans="6:7" ht="12.75">
      <c r="F513" s="463"/>
      <c r="G513" s="463"/>
    </row>
    <row r="514" spans="6:7" ht="12.75">
      <c r="F514" s="463"/>
      <c r="G514" s="463"/>
    </row>
    <row r="515" spans="6:7" ht="12.75">
      <c r="F515" s="463"/>
      <c r="G515" s="463"/>
    </row>
    <row r="516" spans="6:7" ht="12.75">
      <c r="F516" s="463"/>
      <c r="G516" s="463"/>
    </row>
    <row r="517" spans="6:7" ht="12.75">
      <c r="F517" s="463"/>
      <c r="G517" s="463"/>
    </row>
    <row r="518" spans="6:7" ht="12.75">
      <c r="F518" s="463"/>
      <c r="G518" s="463"/>
    </row>
    <row r="519" spans="6:7" ht="12.75">
      <c r="F519" s="463"/>
      <c r="G519" s="463"/>
    </row>
    <row r="520" spans="6:7" ht="12.75">
      <c r="F520" s="463"/>
      <c r="G520" s="463"/>
    </row>
    <row r="521" spans="6:7" ht="12.75">
      <c r="F521" s="463"/>
      <c r="G521" s="463"/>
    </row>
    <row r="522" spans="6:7" ht="12.75">
      <c r="F522" s="463"/>
      <c r="G522" s="463"/>
    </row>
    <row r="523" spans="6:7" ht="12.75">
      <c r="F523" s="463"/>
      <c r="G523" s="463"/>
    </row>
    <row r="524" spans="6:7" ht="12.75">
      <c r="F524" s="463"/>
      <c r="G524" s="463"/>
    </row>
    <row r="525" spans="6:7" ht="12.75">
      <c r="F525" s="463"/>
      <c r="G525" s="463"/>
    </row>
    <row r="526" spans="6:7" ht="12.75">
      <c r="F526" s="463"/>
      <c r="G526" s="463"/>
    </row>
    <row r="527" spans="6:7" ht="12.75">
      <c r="F527" s="463"/>
      <c r="G527" s="463"/>
    </row>
    <row r="528" spans="6:7" ht="12.75">
      <c r="F528" s="463"/>
      <c r="G528" s="463"/>
    </row>
    <row r="529" spans="6:7" ht="12.75">
      <c r="F529" s="463"/>
      <c r="G529" s="463"/>
    </row>
    <row r="530" spans="6:7" ht="12.75">
      <c r="F530" s="463"/>
      <c r="G530" s="463"/>
    </row>
    <row r="531" spans="6:7" ht="12.75">
      <c r="F531" s="463"/>
      <c r="G531" s="463"/>
    </row>
    <row r="532" spans="6:7" ht="12.75">
      <c r="F532" s="463"/>
      <c r="G532" s="463"/>
    </row>
    <row r="533" spans="6:7" ht="12.75">
      <c r="F533" s="463"/>
      <c r="G533" s="463"/>
    </row>
    <row r="534" spans="6:7" ht="12.75">
      <c r="F534" s="463"/>
      <c r="G534" s="463"/>
    </row>
    <row r="535" spans="6:7" ht="12.75">
      <c r="F535" s="463"/>
      <c r="G535" s="463"/>
    </row>
    <row r="536" spans="6:7" ht="12.75">
      <c r="F536" s="463"/>
      <c r="G536" s="463"/>
    </row>
    <row r="537" spans="6:7" ht="12.75">
      <c r="F537" s="463"/>
      <c r="G537" s="463"/>
    </row>
    <row r="538" spans="6:7" ht="12.75">
      <c r="F538" s="463"/>
      <c r="G538" s="463"/>
    </row>
    <row r="539" spans="6:7" ht="12.75">
      <c r="F539" s="463"/>
      <c r="G539" s="463"/>
    </row>
    <row r="540" spans="6:7" ht="12.75">
      <c r="F540" s="463"/>
      <c r="G540" s="463"/>
    </row>
    <row r="541" spans="6:7" ht="12.75">
      <c r="F541" s="463"/>
      <c r="G541" s="463"/>
    </row>
    <row r="542" spans="6:7" ht="12.75">
      <c r="F542" s="463"/>
      <c r="G542" s="463"/>
    </row>
    <row r="543" spans="6:7" ht="12.75">
      <c r="F543" s="463"/>
      <c r="G543" s="463"/>
    </row>
    <row r="544" spans="6:7" ht="12.75">
      <c r="F544" s="463"/>
      <c r="G544" s="463"/>
    </row>
    <row r="545" spans="6:7" ht="12.75">
      <c r="F545" s="463"/>
      <c r="G545" s="463"/>
    </row>
    <row r="546" spans="6:7" ht="12.75">
      <c r="F546" s="463"/>
      <c r="G546" s="463"/>
    </row>
    <row r="547" spans="6:7" ht="12.75">
      <c r="F547" s="463"/>
      <c r="G547" s="463"/>
    </row>
    <row r="548" spans="6:7" ht="12.75">
      <c r="F548" s="463"/>
      <c r="G548" s="463"/>
    </row>
    <row r="549" spans="6:7" ht="12.75">
      <c r="F549" s="463"/>
      <c r="G549" s="463"/>
    </row>
    <row r="550" spans="6:7" ht="12.75">
      <c r="F550" s="463"/>
      <c r="G550" s="463"/>
    </row>
    <row r="551" spans="6:7" ht="12.75">
      <c r="F551" s="463"/>
      <c r="G551" s="463"/>
    </row>
    <row r="552" spans="6:7" ht="12.75">
      <c r="F552" s="463"/>
      <c r="G552" s="463"/>
    </row>
    <row r="553" spans="6:7" ht="12.75">
      <c r="F553" s="463"/>
      <c r="G553" s="463"/>
    </row>
    <row r="554" spans="6:7" ht="12.75">
      <c r="F554" s="463"/>
      <c r="G554" s="463"/>
    </row>
    <row r="555" spans="6:7" ht="12.75">
      <c r="F555" s="463"/>
      <c r="G555" s="463"/>
    </row>
    <row r="556" spans="6:7" ht="12.75">
      <c r="F556" s="463"/>
      <c r="G556" s="463"/>
    </row>
    <row r="557" spans="6:7" ht="12.75">
      <c r="F557" s="463"/>
      <c r="G557" s="463"/>
    </row>
    <row r="558" spans="6:7" ht="12.75">
      <c r="F558" s="463"/>
      <c r="G558" s="463"/>
    </row>
    <row r="559" spans="6:7" ht="12.75">
      <c r="F559" s="463"/>
      <c r="G559" s="463"/>
    </row>
    <row r="560" spans="6:7" ht="12.75">
      <c r="F560" s="463"/>
      <c r="G560" s="463"/>
    </row>
    <row r="561" spans="6:7" ht="12.75">
      <c r="F561" s="463"/>
      <c r="G561" s="463"/>
    </row>
    <row r="562" spans="6:7" ht="12.75">
      <c r="F562" s="463"/>
      <c r="G562" s="463"/>
    </row>
    <row r="563" spans="6:7" ht="12.75">
      <c r="F563" s="463"/>
      <c r="G563" s="463"/>
    </row>
    <row r="564" spans="6:7" ht="12.75">
      <c r="F564" s="463"/>
      <c r="G564" s="463"/>
    </row>
    <row r="565" spans="6:7" ht="12.75">
      <c r="F565" s="463"/>
      <c r="G565" s="463"/>
    </row>
    <row r="566" spans="6:7" ht="12.75">
      <c r="F566" s="463"/>
      <c r="G566" s="463"/>
    </row>
    <row r="567" spans="6:7" ht="12.75">
      <c r="F567" s="463"/>
      <c r="G567" s="463"/>
    </row>
    <row r="568" spans="6:7" ht="12.75">
      <c r="F568" s="463"/>
      <c r="G568" s="463"/>
    </row>
    <row r="569" spans="6:7" ht="12.75">
      <c r="F569" s="463"/>
      <c r="G569" s="463"/>
    </row>
    <row r="570" spans="6:7" ht="12.75">
      <c r="F570" s="463"/>
      <c r="G570" s="463"/>
    </row>
    <row r="571" spans="6:7" ht="12.75">
      <c r="F571" s="463"/>
      <c r="G571" s="463"/>
    </row>
    <row r="572" spans="6:7" ht="12.75">
      <c r="F572" s="463"/>
      <c r="G572" s="463"/>
    </row>
    <row r="573" spans="6:7" ht="12.75">
      <c r="F573" s="463"/>
      <c r="G573" s="463"/>
    </row>
    <row r="574" spans="6:7" ht="12.75">
      <c r="F574" s="463"/>
      <c r="G574" s="463"/>
    </row>
    <row r="575" spans="6:7" ht="12.75">
      <c r="F575" s="463"/>
      <c r="G575" s="463"/>
    </row>
    <row r="576" spans="6:7" ht="12.75">
      <c r="F576" s="463"/>
      <c r="G576" s="463"/>
    </row>
    <row r="577" spans="6:7" ht="12.75">
      <c r="F577" s="463"/>
      <c r="G577" s="463"/>
    </row>
    <row r="578" spans="6:7" ht="12.75">
      <c r="F578" s="463"/>
      <c r="G578" s="463"/>
    </row>
    <row r="579" spans="6:7" ht="12.75">
      <c r="F579" s="463"/>
      <c r="G579" s="463"/>
    </row>
    <row r="580" spans="6:7" ht="12.75">
      <c r="F580" s="463"/>
      <c r="G580" s="463"/>
    </row>
    <row r="581" spans="6:7" ht="12.75">
      <c r="F581" s="463"/>
      <c r="G581" s="463"/>
    </row>
    <row r="582" spans="6:7" ht="12.75">
      <c r="F582" s="463"/>
      <c r="G582" s="463"/>
    </row>
    <row r="583" spans="6:7" ht="12.75">
      <c r="F583" s="463"/>
      <c r="G583" s="463"/>
    </row>
    <row r="584" spans="6:7" ht="12.75">
      <c r="F584" s="463"/>
      <c r="G584" s="463"/>
    </row>
    <row r="585" spans="6:7" ht="12.75">
      <c r="F585" s="463"/>
      <c r="G585" s="463"/>
    </row>
    <row r="586" spans="6:7" ht="12.75">
      <c r="F586" s="463"/>
      <c r="G586" s="463"/>
    </row>
    <row r="587" spans="6:7" ht="12.75">
      <c r="F587" s="463"/>
      <c r="G587" s="463"/>
    </row>
    <row r="588" spans="6:7" ht="12.75">
      <c r="F588" s="463"/>
      <c r="G588" s="463"/>
    </row>
    <row r="589" spans="6:7" ht="12.75">
      <c r="F589" s="463"/>
      <c r="G589" s="463"/>
    </row>
    <row r="590" spans="6:7" ht="12.75">
      <c r="F590" s="463"/>
      <c r="G590" s="463"/>
    </row>
    <row r="591" spans="6:7" ht="12.75">
      <c r="F591" s="463"/>
      <c r="G591" s="463"/>
    </row>
    <row r="592" spans="6:7" ht="12.75">
      <c r="F592" s="463"/>
      <c r="G592" s="463"/>
    </row>
    <row r="593" spans="6:7" ht="12.75">
      <c r="F593" s="463"/>
      <c r="G593" s="463"/>
    </row>
    <row r="594" spans="6:7" ht="12.75">
      <c r="F594" s="463"/>
      <c r="G594" s="463"/>
    </row>
    <row r="595" spans="6:7" ht="12.75">
      <c r="F595" s="463"/>
      <c r="G595" s="463"/>
    </row>
    <row r="596" spans="6:7" ht="12.75">
      <c r="F596" s="463"/>
      <c r="G596" s="463"/>
    </row>
    <row r="597" spans="6:7" ht="12.75">
      <c r="F597" s="463"/>
      <c r="G597" s="463"/>
    </row>
    <row r="598" spans="6:7" ht="12.75">
      <c r="F598" s="463"/>
      <c r="G598" s="463"/>
    </row>
    <row r="599" spans="6:7" ht="12.75">
      <c r="F599" s="463"/>
      <c r="G599" s="463"/>
    </row>
    <row r="600" spans="6:7" ht="12.75">
      <c r="F600" s="463"/>
      <c r="G600" s="463"/>
    </row>
    <row r="601" spans="6:7" ht="12.75">
      <c r="F601" s="463"/>
      <c r="G601" s="463"/>
    </row>
    <row r="602" spans="6:7" ht="12.75">
      <c r="F602" s="463"/>
      <c r="G602" s="463"/>
    </row>
    <row r="603" spans="6:7" ht="12.75">
      <c r="F603" s="463"/>
      <c r="G603" s="463"/>
    </row>
    <row r="604" spans="6:7" ht="12.75">
      <c r="F604" s="463"/>
      <c r="G604" s="463"/>
    </row>
    <row r="605" spans="6:7" ht="12.75">
      <c r="F605" s="463"/>
      <c r="G605" s="463"/>
    </row>
    <row r="606" spans="6:7" ht="12.75">
      <c r="F606" s="463"/>
      <c r="G606" s="463"/>
    </row>
    <row r="607" spans="6:7" ht="12.75">
      <c r="F607" s="463"/>
      <c r="G607" s="463"/>
    </row>
    <row r="608" spans="6:7" ht="12.75">
      <c r="F608" s="463"/>
      <c r="G608" s="463"/>
    </row>
    <row r="609" spans="6:7" ht="12.75">
      <c r="F609" s="463"/>
      <c r="G609" s="463"/>
    </row>
    <row r="610" spans="6:7" ht="12.75">
      <c r="F610" s="463"/>
      <c r="G610" s="463"/>
    </row>
    <row r="611" spans="6:7" ht="12.75">
      <c r="F611" s="463"/>
      <c r="G611" s="463"/>
    </row>
    <row r="612" spans="6:7" ht="12.75">
      <c r="F612" s="463"/>
      <c r="G612" s="463"/>
    </row>
    <row r="613" spans="6:7" ht="12.75">
      <c r="F613" s="463"/>
      <c r="G613" s="463"/>
    </row>
    <row r="614" spans="6:7" ht="12.75">
      <c r="F614" s="463"/>
      <c r="G614" s="463"/>
    </row>
    <row r="615" spans="6:7" ht="12.75">
      <c r="F615" s="463"/>
      <c r="G615" s="463"/>
    </row>
    <row r="616" spans="6:7" ht="12.75">
      <c r="F616" s="463"/>
      <c r="G616" s="463"/>
    </row>
    <row r="617" spans="6:7" ht="12.75">
      <c r="F617" s="463"/>
      <c r="G617" s="463"/>
    </row>
    <row r="618" spans="6:7" ht="12.75">
      <c r="F618" s="463"/>
      <c r="G618" s="463"/>
    </row>
    <row r="619" spans="6:7" ht="12.75">
      <c r="F619" s="463"/>
      <c r="G619" s="463"/>
    </row>
    <row r="620" spans="6:7" ht="12.75">
      <c r="F620" s="463"/>
      <c r="G620" s="463"/>
    </row>
    <row r="621" spans="6:7" ht="12.75">
      <c r="F621" s="463"/>
      <c r="G621" s="463"/>
    </row>
    <row r="622" spans="6:7" ht="12.75">
      <c r="F622" s="463"/>
      <c r="G622" s="463"/>
    </row>
    <row r="623" spans="6:7" ht="12.75">
      <c r="F623" s="463"/>
      <c r="G623" s="463"/>
    </row>
    <row r="624" spans="6:7" ht="12.75">
      <c r="F624" s="463"/>
      <c r="G624" s="463"/>
    </row>
    <row r="625" spans="6:7" ht="12.75">
      <c r="F625" s="463"/>
      <c r="G625" s="463"/>
    </row>
    <row r="626" spans="6:7" ht="12.75">
      <c r="F626" s="463"/>
      <c r="G626" s="463"/>
    </row>
    <row r="627" spans="6:7" ht="12.75">
      <c r="F627" s="463"/>
      <c r="G627" s="463"/>
    </row>
    <row r="628" spans="6:7" ht="12.75">
      <c r="F628" s="463"/>
      <c r="G628" s="463"/>
    </row>
    <row r="629" spans="6:7" ht="12.75">
      <c r="F629" s="463"/>
      <c r="G629" s="463"/>
    </row>
    <row r="630" spans="6:7" ht="12.75">
      <c r="F630" s="463"/>
      <c r="G630" s="463"/>
    </row>
    <row r="631" spans="6:7" ht="12.75">
      <c r="F631" s="463"/>
      <c r="G631" s="463"/>
    </row>
    <row r="632" spans="6:7" ht="12.75">
      <c r="F632" s="463"/>
      <c r="G632" s="463"/>
    </row>
    <row r="633" spans="6:7" ht="12.75">
      <c r="F633" s="463"/>
      <c r="G633" s="463"/>
    </row>
    <row r="634" spans="6:7" ht="12.75">
      <c r="F634" s="463"/>
      <c r="G634" s="463"/>
    </row>
    <row r="635" spans="6:7" ht="12.75">
      <c r="F635" s="463"/>
      <c r="G635" s="463"/>
    </row>
    <row r="636" spans="6:7" ht="12.75">
      <c r="F636" s="463"/>
      <c r="G636" s="463"/>
    </row>
    <row r="637" spans="6:7" ht="12.75">
      <c r="F637" s="463"/>
      <c r="G637" s="463"/>
    </row>
    <row r="638" spans="6:7" ht="12.75">
      <c r="F638" s="463"/>
      <c r="G638" s="463"/>
    </row>
    <row r="639" spans="6:7" ht="12.75">
      <c r="F639" s="463"/>
      <c r="G639" s="463"/>
    </row>
    <row r="640" spans="6:7" ht="12.75">
      <c r="F640" s="463"/>
      <c r="G640" s="463"/>
    </row>
    <row r="641" spans="6:7" ht="12.75">
      <c r="F641" s="463"/>
      <c r="G641" s="463"/>
    </row>
    <row r="642" spans="6:7" ht="12.75">
      <c r="F642" s="463"/>
      <c r="G642" s="463"/>
    </row>
    <row r="643" spans="6:7" ht="12.75">
      <c r="F643" s="463"/>
      <c r="G643" s="463"/>
    </row>
    <row r="644" spans="6:7" ht="12.75">
      <c r="F644" s="463"/>
      <c r="G644" s="463"/>
    </row>
    <row r="645" spans="6:7" ht="12.75">
      <c r="F645" s="463"/>
      <c r="G645" s="463"/>
    </row>
    <row r="646" spans="6:7" ht="12.75">
      <c r="F646" s="463"/>
      <c r="G646" s="463"/>
    </row>
    <row r="647" spans="6:7" ht="12.75">
      <c r="F647" s="463"/>
      <c r="G647" s="463"/>
    </row>
    <row r="648" spans="6:7" ht="12.75">
      <c r="F648" s="463"/>
      <c r="G648" s="463"/>
    </row>
    <row r="649" spans="6:7" ht="12.75">
      <c r="F649" s="463"/>
      <c r="G649" s="463"/>
    </row>
    <row r="650" spans="6:7" ht="12.75">
      <c r="F650" s="463"/>
      <c r="G650" s="463"/>
    </row>
    <row r="651" spans="6:7" ht="12.75">
      <c r="F651" s="463"/>
      <c r="G651" s="463"/>
    </row>
    <row r="652" spans="6:7" ht="12.75">
      <c r="F652" s="463"/>
      <c r="G652" s="463"/>
    </row>
    <row r="653" spans="6:7" ht="12.75">
      <c r="F653" s="463"/>
      <c r="G653" s="463"/>
    </row>
    <row r="654" spans="6:7" ht="12.75">
      <c r="F654" s="463"/>
      <c r="G654" s="463"/>
    </row>
    <row r="655" spans="6:7" ht="12.75">
      <c r="F655" s="463"/>
      <c r="G655" s="463"/>
    </row>
    <row r="656" spans="6:7" ht="12.75">
      <c r="F656" s="463"/>
      <c r="G656" s="463"/>
    </row>
    <row r="657" spans="6:7" ht="12.75">
      <c r="F657" s="463"/>
      <c r="G657" s="463"/>
    </row>
    <row r="658" spans="6:7" ht="12.75">
      <c r="F658" s="463"/>
      <c r="G658" s="463"/>
    </row>
    <row r="659" spans="6:7" ht="12.75">
      <c r="F659" s="463"/>
      <c r="G659" s="463"/>
    </row>
    <row r="660" spans="6:7" ht="12.75">
      <c r="F660" s="463"/>
      <c r="G660" s="463"/>
    </row>
    <row r="661" spans="6:7" ht="12.75">
      <c r="F661" s="463"/>
      <c r="G661" s="463"/>
    </row>
    <row r="662" spans="6:7" ht="12.75">
      <c r="F662" s="463"/>
      <c r="G662" s="463"/>
    </row>
    <row r="663" spans="6:7" ht="12.75">
      <c r="F663" s="463"/>
      <c r="G663" s="463"/>
    </row>
    <row r="664" spans="6:7" ht="12.75">
      <c r="F664" s="463"/>
      <c r="G664" s="463"/>
    </row>
    <row r="665" spans="6:7" ht="12.75">
      <c r="F665" s="463"/>
      <c r="G665" s="463"/>
    </row>
    <row r="666" spans="6:7" ht="12.75">
      <c r="F666" s="463"/>
      <c r="G666" s="463"/>
    </row>
    <row r="667" spans="6:7" ht="12.75">
      <c r="F667" s="463"/>
      <c r="G667" s="463"/>
    </row>
    <row r="668" spans="6:7" ht="12.75">
      <c r="F668" s="463"/>
      <c r="G668" s="463"/>
    </row>
    <row r="669" spans="6:7" ht="12.75">
      <c r="F669" s="463"/>
      <c r="G669" s="463"/>
    </row>
    <row r="670" spans="6:7" ht="12.75">
      <c r="F670" s="463"/>
      <c r="G670" s="463"/>
    </row>
    <row r="671" spans="6:7" ht="12.75">
      <c r="F671" s="463"/>
      <c r="G671" s="463"/>
    </row>
    <row r="672" spans="6:7" ht="12.75">
      <c r="F672" s="463"/>
      <c r="G672" s="463"/>
    </row>
    <row r="673" spans="6:7" ht="12.75">
      <c r="F673" s="463"/>
      <c r="G673" s="463"/>
    </row>
    <row r="674" spans="6:7" ht="12.75">
      <c r="F674" s="463"/>
      <c r="G674" s="463"/>
    </row>
    <row r="675" spans="6:7" ht="12.75">
      <c r="F675" s="463"/>
      <c r="G675" s="463"/>
    </row>
    <row r="676" spans="6:7" ht="12.75">
      <c r="F676" s="463"/>
      <c r="G676" s="463"/>
    </row>
    <row r="677" spans="6:7" ht="12.75">
      <c r="F677" s="463"/>
      <c r="G677" s="463"/>
    </row>
    <row r="678" spans="6:7" ht="12.75">
      <c r="F678" s="463"/>
      <c r="G678" s="463"/>
    </row>
    <row r="679" spans="6:7" ht="12.75">
      <c r="F679" s="463"/>
      <c r="G679" s="463"/>
    </row>
    <row r="680" spans="6:7" ht="12.75">
      <c r="F680" s="463"/>
      <c r="G680" s="463"/>
    </row>
    <row r="681" spans="6:7" ht="12.75">
      <c r="F681" s="463"/>
      <c r="G681" s="463"/>
    </row>
    <row r="682" spans="6:7" ht="12.75">
      <c r="F682" s="463"/>
      <c r="G682" s="463"/>
    </row>
    <row r="683" spans="6:7" ht="12.75">
      <c r="F683" s="463"/>
      <c r="G683" s="463"/>
    </row>
    <row r="684" spans="6:7" ht="12.75">
      <c r="F684" s="463"/>
      <c r="G684" s="463"/>
    </row>
    <row r="685" spans="6:7" ht="12.75">
      <c r="F685" s="463"/>
      <c r="G685" s="463"/>
    </row>
    <row r="686" spans="6:7" ht="12.75">
      <c r="F686" s="463"/>
      <c r="G686" s="463"/>
    </row>
    <row r="687" spans="6:7" ht="12.75">
      <c r="F687" s="463"/>
      <c r="G687" s="463"/>
    </row>
    <row r="688" spans="6:7" ht="12.75">
      <c r="F688" s="463"/>
      <c r="G688" s="463"/>
    </row>
    <row r="689" spans="6:7" ht="12.75">
      <c r="F689" s="463"/>
      <c r="G689" s="463"/>
    </row>
    <row r="690" spans="6:7" ht="12.75">
      <c r="F690" s="463"/>
      <c r="G690" s="463"/>
    </row>
    <row r="691" spans="6:7" ht="12.75">
      <c r="F691" s="463"/>
      <c r="G691" s="463"/>
    </row>
    <row r="692" spans="6:7" ht="12.75">
      <c r="F692" s="463"/>
      <c r="G692" s="463"/>
    </row>
    <row r="693" spans="6:7" ht="12.75">
      <c r="F693" s="463"/>
      <c r="G693" s="463"/>
    </row>
    <row r="694" spans="6:7" ht="12.75">
      <c r="F694" s="463"/>
      <c r="G694" s="463"/>
    </row>
    <row r="695" spans="6:7" ht="12.75">
      <c r="F695" s="463"/>
      <c r="G695" s="463"/>
    </row>
    <row r="696" spans="6:7" ht="12.75">
      <c r="F696" s="463"/>
      <c r="G696" s="463"/>
    </row>
    <row r="697" spans="6:7" ht="12.75">
      <c r="F697" s="463"/>
      <c r="G697" s="463"/>
    </row>
    <row r="698" spans="6:7" ht="12.75">
      <c r="F698" s="463"/>
      <c r="G698" s="463"/>
    </row>
    <row r="699" spans="6:7" ht="12.75">
      <c r="F699" s="463"/>
      <c r="G699" s="463"/>
    </row>
    <row r="700" spans="6:7" ht="12.75">
      <c r="F700" s="463"/>
      <c r="G700" s="463"/>
    </row>
    <row r="701" spans="6:7" ht="12.75">
      <c r="F701" s="463"/>
      <c r="G701" s="463"/>
    </row>
    <row r="702" spans="6:7" ht="12.75">
      <c r="F702" s="463"/>
      <c r="G702" s="463"/>
    </row>
    <row r="703" spans="6:7" ht="12.75">
      <c r="F703" s="463"/>
      <c r="G703" s="463"/>
    </row>
    <row r="704" spans="6:7" ht="12.75">
      <c r="F704" s="463"/>
      <c r="G704" s="463"/>
    </row>
    <row r="705" spans="6:7" ht="12.75">
      <c r="F705" s="463"/>
      <c r="G705" s="463"/>
    </row>
    <row r="706" spans="6:7" ht="12.75">
      <c r="F706" s="463"/>
      <c r="G706" s="463"/>
    </row>
    <row r="707" spans="6:7" ht="12.75">
      <c r="F707" s="463"/>
      <c r="G707" s="463"/>
    </row>
    <row r="708" spans="6:7" ht="12.75">
      <c r="F708" s="463"/>
      <c r="G708" s="463"/>
    </row>
    <row r="709" spans="6:7" ht="12.75">
      <c r="F709" s="463"/>
      <c r="G709" s="463"/>
    </row>
    <row r="710" spans="6:7" ht="12.75">
      <c r="F710" s="463"/>
      <c r="G710" s="463"/>
    </row>
    <row r="711" spans="6:7" ht="12.75">
      <c r="F711" s="463"/>
      <c r="G711" s="463"/>
    </row>
    <row r="712" spans="6:7" ht="12.75">
      <c r="F712" s="463"/>
      <c r="G712" s="463"/>
    </row>
    <row r="713" spans="6:7" ht="12.75">
      <c r="F713" s="463"/>
      <c r="G713" s="463"/>
    </row>
    <row r="714" spans="6:7" ht="12.75">
      <c r="F714" s="463"/>
      <c r="G714" s="463"/>
    </row>
    <row r="715" spans="6:7" ht="12.75">
      <c r="F715" s="463"/>
      <c r="G715" s="463"/>
    </row>
    <row r="716" spans="6:7" ht="12.75">
      <c r="F716" s="463"/>
      <c r="G716" s="463"/>
    </row>
    <row r="717" spans="6:7" ht="12.75">
      <c r="F717" s="463"/>
      <c r="G717" s="463"/>
    </row>
    <row r="718" spans="6:7" ht="12.75">
      <c r="F718" s="463"/>
      <c r="G718" s="463"/>
    </row>
    <row r="719" spans="6:7" ht="12.75">
      <c r="F719" s="463"/>
      <c r="G719" s="463"/>
    </row>
    <row r="720" spans="6:7" ht="12.75">
      <c r="F720" s="463"/>
      <c r="G720" s="463"/>
    </row>
    <row r="721" spans="6:7" ht="12.75">
      <c r="F721" s="463"/>
      <c r="G721" s="463"/>
    </row>
    <row r="722" spans="6:7" ht="12.75">
      <c r="F722" s="463"/>
      <c r="G722" s="463"/>
    </row>
    <row r="723" spans="6:7" ht="12.75">
      <c r="F723" s="463"/>
      <c r="G723" s="463"/>
    </row>
    <row r="724" spans="6:7" ht="12.75">
      <c r="F724" s="463"/>
      <c r="G724" s="463"/>
    </row>
    <row r="725" spans="6:7" ht="12.75">
      <c r="F725" s="463"/>
      <c r="G725" s="463"/>
    </row>
    <row r="726" spans="6:7" ht="12.75">
      <c r="F726" s="463"/>
      <c r="G726" s="463"/>
    </row>
    <row r="727" spans="6:7" ht="12.75">
      <c r="F727" s="463"/>
      <c r="G727" s="463"/>
    </row>
    <row r="728" spans="6:7" ht="12.75">
      <c r="F728" s="463"/>
      <c r="G728" s="463"/>
    </row>
    <row r="729" spans="6:7" ht="12.75">
      <c r="F729" s="463"/>
      <c r="G729" s="463"/>
    </row>
    <row r="730" spans="6:7" ht="12.75">
      <c r="F730" s="463"/>
      <c r="G730" s="463"/>
    </row>
    <row r="731" spans="6:7" ht="12.75">
      <c r="F731" s="463"/>
      <c r="G731" s="463"/>
    </row>
    <row r="732" spans="6:7" ht="12.75">
      <c r="F732" s="463"/>
      <c r="G732" s="463"/>
    </row>
    <row r="733" spans="6:7" ht="12.75">
      <c r="F733" s="463"/>
      <c r="G733" s="463"/>
    </row>
    <row r="734" spans="6:7" ht="12.75">
      <c r="F734" s="463"/>
      <c r="G734" s="463"/>
    </row>
    <row r="735" spans="6:7" ht="12.75">
      <c r="F735" s="463"/>
      <c r="G735" s="463"/>
    </row>
    <row r="736" spans="6:7" ht="12.75">
      <c r="F736" s="463"/>
      <c r="G736" s="463"/>
    </row>
    <row r="737" spans="6:7" ht="12.75">
      <c r="F737" s="463"/>
      <c r="G737" s="463"/>
    </row>
    <row r="738" spans="6:7" ht="12.75">
      <c r="F738" s="463"/>
      <c r="G738" s="463"/>
    </row>
    <row r="739" spans="6:7" ht="12.75">
      <c r="F739" s="463"/>
      <c r="G739" s="463"/>
    </row>
    <row r="740" spans="6:7" ht="12.75">
      <c r="F740" s="463"/>
      <c r="G740" s="463"/>
    </row>
    <row r="741" spans="6:7" ht="12.75">
      <c r="F741" s="463"/>
      <c r="G741" s="463"/>
    </row>
    <row r="742" spans="6:7" ht="12.75">
      <c r="F742" s="463"/>
      <c r="G742" s="463"/>
    </row>
    <row r="743" spans="6:7" ht="12.75">
      <c r="F743" s="463"/>
      <c r="G743" s="463"/>
    </row>
    <row r="744" spans="6:7" ht="12.75">
      <c r="F744" s="463"/>
      <c r="G744" s="463"/>
    </row>
    <row r="745" spans="6:7" ht="12.75">
      <c r="F745" s="463"/>
      <c r="G745" s="463"/>
    </row>
    <row r="746" spans="6:7" ht="12.75">
      <c r="F746" s="463"/>
      <c r="G746" s="463"/>
    </row>
    <row r="747" spans="6:7" ht="12.75">
      <c r="F747" s="463"/>
      <c r="G747" s="463"/>
    </row>
    <row r="748" spans="6:7" ht="12.75">
      <c r="F748" s="463"/>
      <c r="G748" s="463"/>
    </row>
    <row r="749" spans="6:7" ht="12.75">
      <c r="F749" s="463"/>
      <c r="G749" s="463"/>
    </row>
    <row r="750" spans="6:7" ht="12.75">
      <c r="F750" s="463"/>
      <c r="G750" s="463"/>
    </row>
    <row r="751" spans="6:7" ht="12.75">
      <c r="F751" s="463"/>
      <c r="G751" s="463"/>
    </row>
    <row r="752" spans="6:7" ht="12.75">
      <c r="F752" s="463"/>
      <c r="G752" s="463"/>
    </row>
    <row r="753" spans="6:7" ht="12.75">
      <c r="F753" s="463"/>
      <c r="G753" s="463"/>
    </row>
    <row r="754" spans="6:7" ht="12.75">
      <c r="F754" s="463"/>
      <c r="G754" s="463"/>
    </row>
    <row r="755" spans="6:7" ht="12.75">
      <c r="F755" s="463"/>
      <c r="G755" s="463"/>
    </row>
    <row r="756" spans="6:7" ht="12.75">
      <c r="F756" s="463"/>
      <c r="G756" s="463"/>
    </row>
    <row r="757" spans="6:7" ht="12.75">
      <c r="F757" s="463"/>
      <c r="G757" s="463"/>
    </row>
    <row r="758" spans="6:7" ht="12.75">
      <c r="F758" s="463"/>
      <c r="G758" s="463"/>
    </row>
    <row r="759" spans="6:7" ht="12.75">
      <c r="F759" s="463"/>
      <c r="G759" s="463"/>
    </row>
    <row r="760" spans="6:7" ht="12.75">
      <c r="F760" s="463"/>
      <c r="G760" s="463"/>
    </row>
    <row r="761" spans="6:7" ht="12.75">
      <c r="F761" s="463"/>
      <c r="G761" s="463"/>
    </row>
    <row r="762" spans="6:7" ht="12.75">
      <c r="F762" s="463"/>
      <c r="G762" s="463"/>
    </row>
    <row r="763" spans="6:7" ht="12.75">
      <c r="F763" s="463"/>
      <c r="G763" s="463"/>
    </row>
    <row r="764" spans="6:7" ht="12.75">
      <c r="F764" s="463"/>
      <c r="G764" s="463"/>
    </row>
    <row r="765" spans="6:7" ht="12.75">
      <c r="F765" s="463"/>
      <c r="G765" s="463"/>
    </row>
    <row r="766" spans="6:7" ht="12.75">
      <c r="F766" s="463"/>
      <c r="G766" s="463"/>
    </row>
    <row r="767" spans="6:7" ht="12.75">
      <c r="F767" s="463"/>
      <c r="G767" s="463"/>
    </row>
    <row r="768" spans="6:7" ht="12.75">
      <c r="F768" s="463"/>
      <c r="G768" s="463"/>
    </row>
    <row r="769" spans="6:7" ht="12.75">
      <c r="F769" s="463"/>
      <c r="G769" s="463"/>
    </row>
    <row r="770" spans="6:7" ht="12.75">
      <c r="F770" s="463"/>
      <c r="G770" s="463"/>
    </row>
    <row r="771" spans="6:7" ht="12.75">
      <c r="F771" s="463"/>
      <c r="G771" s="463"/>
    </row>
    <row r="772" spans="6:7" ht="12.75">
      <c r="F772" s="463"/>
      <c r="G772" s="463"/>
    </row>
    <row r="773" spans="6:7" ht="12.75">
      <c r="F773" s="463"/>
      <c r="G773" s="463"/>
    </row>
    <row r="774" spans="6:7" ht="12.75">
      <c r="F774" s="463"/>
      <c r="G774" s="463"/>
    </row>
    <row r="775" spans="6:7" ht="12.75">
      <c r="F775" s="463"/>
      <c r="G775" s="463"/>
    </row>
    <row r="776" spans="6:7" ht="12.75">
      <c r="F776" s="463"/>
      <c r="G776" s="463"/>
    </row>
    <row r="777" spans="6:7" ht="12.75">
      <c r="F777" s="463"/>
      <c r="G777" s="463"/>
    </row>
    <row r="778" spans="6:7" ht="12.75">
      <c r="F778" s="463"/>
      <c r="G778" s="463"/>
    </row>
    <row r="779" spans="6:7" ht="12.75">
      <c r="F779" s="463"/>
      <c r="G779" s="463"/>
    </row>
    <row r="780" spans="6:7" ht="12.75">
      <c r="F780" s="463"/>
      <c r="G780" s="463"/>
    </row>
    <row r="781" spans="6:7" ht="12.75">
      <c r="F781" s="463"/>
      <c r="G781" s="463"/>
    </row>
    <row r="782" spans="6:7" ht="12.75">
      <c r="F782" s="463"/>
      <c r="G782" s="463"/>
    </row>
    <row r="783" spans="6:7" ht="12.75">
      <c r="F783" s="463"/>
      <c r="G783" s="463"/>
    </row>
    <row r="784" spans="6:7" ht="12.75">
      <c r="F784" s="463"/>
      <c r="G784" s="463"/>
    </row>
    <row r="785" spans="6:7" ht="12.75">
      <c r="F785" s="463"/>
      <c r="G785" s="463"/>
    </row>
    <row r="786" spans="6:7" ht="12.75">
      <c r="F786" s="463"/>
      <c r="G786" s="463"/>
    </row>
    <row r="787" spans="6:7" ht="12.75">
      <c r="F787" s="463"/>
      <c r="G787" s="463"/>
    </row>
    <row r="788" spans="6:7" ht="12.75">
      <c r="F788" s="463"/>
      <c r="G788" s="463"/>
    </row>
    <row r="789" spans="6:7" ht="12.75">
      <c r="F789" s="463"/>
      <c r="G789" s="463"/>
    </row>
    <row r="790" spans="6:7" ht="12.75">
      <c r="F790" s="463"/>
      <c r="G790" s="463"/>
    </row>
    <row r="791" spans="6:7" ht="12.75">
      <c r="F791" s="463"/>
      <c r="G791" s="463"/>
    </row>
    <row r="792" spans="6:7" ht="12.75">
      <c r="F792" s="463"/>
      <c r="G792" s="463"/>
    </row>
    <row r="793" spans="6:7" ht="12.75">
      <c r="F793" s="463"/>
      <c r="G793" s="463"/>
    </row>
    <row r="794" spans="6:7" ht="12.75">
      <c r="F794" s="463"/>
      <c r="G794" s="463"/>
    </row>
    <row r="795" spans="6:7" ht="12.75">
      <c r="F795" s="463"/>
      <c r="G795" s="463"/>
    </row>
    <row r="796" spans="6:7" ht="12.75">
      <c r="F796" s="463"/>
      <c r="G796" s="463"/>
    </row>
    <row r="797" spans="6:7" ht="12.75">
      <c r="F797" s="463"/>
      <c r="G797" s="463"/>
    </row>
    <row r="798" spans="6:7" ht="12.75">
      <c r="F798" s="463"/>
      <c r="G798" s="463"/>
    </row>
    <row r="799" spans="6:7" ht="12.75">
      <c r="F799" s="463"/>
      <c r="G799" s="463"/>
    </row>
    <row r="800" spans="6:7" ht="12.75">
      <c r="F800" s="463"/>
      <c r="G800" s="463"/>
    </row>
    <row r="801" spans="6:7" ht="12.75">
      <c r="F801" s="463"/>
      <c r="G801" s="463"/>
    </row>
    <row r="802" spans="6:7" ht="12.75">
      <c r="F802" s="463"/>
      <c r="G802" s="463"/>
    </row>
    <row r="803" spans="6:7" ht="12.75">
      <c r="F803" s="463"/>
      <c r="G803" s="463"/>
    </row>
    <row r="804" spans="6:7" ht="12.75">
      <c r="F804" s="463"/>
      <c r="G804" s="463"/>
    </row>
    <row r="805" spans="6:7" ht="12.75">
      <c r="F805" s="463"/>
      <c r="G805" s="463"/>
    </row>
    <row r="806" spans="6:7" ht="12.75">
      <c r="F806" s="463"/>
      <c r="G806" s="463"/>
    </row>
    <row r="807" spans="6:7" ht="12.75">
      <c r="F807" s="463"/>
      <c r="G807" s="463"/>
    </row>
    <row r="808" spans="6:7" ht="12.75">
      <c r="F808" s="463"/>
      <c r="G808" s="463"/>
    </row>
    <row r="809" spans="6:7" ht="12.75">
      <c r="F809" s="463"/>
      <c r="G809" s="463"/>
    </row>
    <row r="810" spans="6:7" ht="12.75">
      <c r="F810" s="463"/>
      <c r="G810" s="463"/>
    </row>
    <row r="811" spans="6:7" ht="12.75">
      <c r="F811" s="463"/>
      <c r="G811" s="463"/>
    </row>
    <row r="812" spans="6:7" ht="12.75">
      <c r="F812" s="463"/>
      <c r="G812" s="463"/>
    </row>
    <row r="813" spans="6:7" ht="12.75">
      <c r="F813" s="463"/>
      <c r="G813" s="463"/>
    </row>
    <row r="814" spans="6:7" ht="12.75">
      <c r="F814" s="463"/>
      <c r="G814" s="463"/>
    </row>
    <row r="815" spans="6:7" ht="12.75">
      <c r="F815" s="463"/>
      <c r="G815" s="463"/>
    </row>
    <row r="816" spans="6:7" ht="12.75">
      <c r="F816" s="463"/>
      <c r="G816" s="463"/>
    </row>
    <row r="817" spans="6:7" ht="12.75">
      <c r="F817" s="463"/>
      <c r="G817" s="463"/>
    </row>
    <row r="818" spans="6:7" ht="12.75">
      <c r="F818" s="463"/>
      <c r="G818" s="463"/>
    </row>
    <row r="819" spans="6:7" ht="12.75">
      <c r="F819" s="463"/>
      <c r="G819" s="463"/>
    </row>
    <row r="820" spans="6:7" ht="12.75">
      <c r="F820" s="463"/>
      <c r="G820" s="463"/>
    </row>
    <row r="821" spans="6:7" ht="12.75">
      <c r="F821" s="463"/>
      <c r="G821" s="463"/>
    </row>
    <row r="822" spans="6:7" ht="12.75">
      <c r="F822" s="463"/>
      <c r="G822" s="463"/>
    </row>
    <row r="823" spans="6:7" ht="12.75">
      <c r="F823" s="463"/>
      <c r="G823" s="463"/>
    </row>
    <row r="824" spans="6:7" ht="12.75">
      <c r="F824" s="463"/>
      <c r="G824" s="463"/>
    </row>
    <row r="825" spans="6:7" ht="12.75">
      <c r="F825" s="463"/>
      <c r="G825" s="463"/>
    </row>
    <row r="826" spans="6:7" ht="12.75">
      <c r="F826" s="463"/>
      <c r="G826" s="463"/>
    </row>
    <row r="827" spans="6:7" ht="12.75">
      <c r="F827" s="463"/>
      <c r="G827" s="463"/>
    </row>
    <row r="828" spans="6:7" ht="12.75">
      <c r="F828" s="463"/>
      <c r="G828" s="463"/>
    </row>
    <row r="829" spans="6:7" ht="12.75">
      <c r="F829" s="463"/>
      <c r="G829" s="463"/>
    </row>
    <row r="830" spans="6:7" ht="12.75">
      <c r="F830" s="463"/>
      <c r="G830" s="463"/>
    </row>
    <row r="831" spans="6:7" ht="12.75">
      <c r="F831" s="463"/>
      <c r="G831" s="463"/>
    </row>
    <row r="832" spans="6:7" ht="12.75">
      <c r="F832" s="463"/>
      <c r="G832" s="463"/>
    </row>
    <row r="833" spans="6:7" ht="12.75">
      <c r="F833" s="463"/>
      <c r="G833" s="463"/>
    </row>
    <row r="834" spans="6:7" ht="12.75">
      <c r="F834" s="463"/>
      <c r="G834" s="463"/>
    </row>
    <row r="835" spans="6:7" ht="12.75">
      <c r="F835" s="463"/>
      <c r="G835" s="463"/>
    </row>
    <row r="836" spans="6:7" ht="12.75">
      <c r="F836" s="463"/>
      <c r="G836" s="463"/>
    </row>
    <row r="837" spans="6:7" ht="12.75">
      <c r="F837" s="463"/>
      <c r="G837" s="463"/>
    </row>
    <row r="838" spans="6:7" ht="12.75">
      <c r="F838" s="463"/>
      <c r="G838" s="463"/>
    </row>
    <row r="839" spans="6:7" ht="12.75">
      <c r="F839" s="463"/>
      <c r="G839" s="463"/>
    </row>
    <row r="840" spans="6:7" ht="12.75">
      <c r="F840" s="463"/>
      <c r="G840" s="463"/>
    </row>
    <row r="841" spans="6:7" ht="12.75">
      <c r="F841" s="463"/>
      <c r="G841" s="463"/>
    </row>
    <row r="842" spans="6:7" ht="12.75">
      <c r="F842" s="463"/>
      <c r="G842" s="463"/>
    </row>
    <row r="843" spans="6:7" ht="12.75">
      <c r="F843" s="463"/>
      <c r="G843" s="463"/>
    </row>
    <row r="844" spans="6:7" ht="12.75">
      <c r="F844" s="463"/>
      <c r="G844" s="463"/>
    </row>
    <row r="845" spans="6:7" ht="12.75">
      <c r="F845" s="463"/>
      <c r="G845" s="463"/>
    </row>
    <row r="846" spans="6:7" ht="12.75">
      <c r="F846" s="463"/>
      <c r="G846" s="463"/>
    </row>
    <row r="847" spans="6:7" ht="12.75">
      <c r="F847" s="463"/>
      <c r="G847" s="463"/>
    </row>
    <row r="848" spans="6:7" ht="12.75">
      <c r="F848" s="463"/>
      <c r="G848" s="463"/>
    </row>
    <row r="849" spans="6:7" ht="12.75">
      <c r="F849" s="463"/>
      <c r="G849" s="463"/>
    </row>
    <row r="850" spans="6:7" ht="12.75">
      <c r="F850" s="463"/>
      <c r="G850" s="463"/>
    </row>
    <row r="851" spans="6:7" ht="12.75">
      <c r="F851" s="463"/>
      <c r="G851" s="463"/>
    </row>
    <row r="852" spans="6:7" ht="12.75">
      <c r="F852" s="463"/>
      <c r="G852" s="463"/>
    </row>
    <row r="853" spans="6:7" ht="12.75">
      <c r="F853" s="463"/>
      <c r="G853" s="463"/>
    </row>
    <row r="854" spans="6:7" ht="12.75">
      <c r="F854" s="463"/>
      <c r="G854" s="463"/>
    </row>
    <row r="855" spans="6:7" ht="12.75">
      <c r="F855" s="463"/>
      <c r="G855" s="463"/>
    </row>
    <row r="856" spans="6:7" ht="12.75">
      <c r="F856" s="463"/>
      <c r="G856" s="463"/>
    </row>
    <row r="857" spans="6:7" ht="12.75">
      <c r="F857" s="463"/>
      <c r="G857" s="463"/>
    </row>
    <row r="858" spans="6:7" ht="12.75">
      <c r="F858" s="463"/>
      <c r="G858" s="463"/>
    </row>
    <row r="859" spans="6:7" ht="12.75">
      <c r="F859" s="463"/>
      <c r="G859" s="463"/>
    </row>
    <row r="860" spans="6:7" ht="12.75">
      <c r="F860" s="463"/>
      <c r="G860" s="463"/>
    </row>
    <row r="861" spans="6:7" ht="12.75">
      <c r="F861" s="463"/>
      <c r="G861" s="463"/>
    </row>
    <row r="862" spans="6:7" ht="12.75">
      <c r="F862" s="463"/>
      <c r="G862" s="463"/>
    </row>
    <row r="863" spans="6:7" ht="12.75">
      <c r="F863" s="463"/>
      <c r="G863" s="463"/>
    </row>
    <row r="864" spans="6:7" ht="12.75">
      <c r="F864" s="463"/>
      <c r="G864" s="463"/>
    </row>
    <row r="865" spans="6:7" ht="12.75">
      <c r="F865" s="463"/>
      <c r="G865" s="463"/>
    </row>
    <row r="866" spans="6:7" ht="12.75">
      <c r="F866" s="463"/>
      <c r="G866" s="463"/>
    </row>
    <row r="867" spans="6:7" ht="12.75">
      <c r="F867" s="463"/>
      <c r="G867" s="463"/>
    </row>
    <row r="868" spans="6:7" ht="12.75">
      <c r="F868" s="463"/>
      <c r="G868" s="463"/>
    </row>
    <row r="869" spans="6:7" ht="12.75">
      <c r="F869" s="463"/>
      <c r="G869" s="463"/>
    </row>
    <row r="870" spans="6:7" ht="12.75">
      <c r="F870" s="463"/>
      <c r="G870" s="463"/>
    </row>
    <row r="871" spans="6:7" ht="12.75">
      <c r="F871" s="463"/>
      <c r="G871" s="463"/>
    </row>
    <row r="872" spans="6:7" ht="12.75">
      <c r="F872" s="463"/>
      <c r="G872" s="463"/>
    </row>
    <row r="873" spans="6:7" ht="12.75">
      <c r="F873" s="463"/>
      <c r="G873" s="463"/>
    </row>
    <row r="874" spans="6:7" ht="12.75">
      <c r="F874" s="463"/>
      <c r="G874" s="463"/>
    </row>
    <row r="875" spans="6:7" ht="12.75">
      <c r="F875" s="463"/>
      <c r="G875" s="463"/>
    </row>
    <row r="876" spans="6:7" ht="12.75">
      <c r="F876" s="463"/>
      <c r="G876" s="463"/>
    </row>
    <row r="877" spans="6:7" ht="12.75">
      <c r="F877" s="463"/>
      <c r="G877" s="463"/>
    </row>
    <row r="878" spans="6:7" ht="12.75">
      <c r="F878" s="463"/>
      <c r="G878" s="463"/>
    </row>
    <row r="879" spans="6:7" ht="12.75">
      <c r="F879" s="463"/>
      <c r="G879" s="463"/>
    </row>
    <row r="880" spans="6:7" ht="12.75">
      <c r="F880" s="463"/>
      <c r="G880" s="463"/>
    </row>
    <row r="881" spans="6:7" ht="12.75">
      <c r="F881" s="463"/>
      <c r="G881" s="463"/>
    </row>
    <row r="882" spans="6:7" ht="12.75">
      <c r="F882" s="463"/>
      <c r="G882" s="463"/>
    </row>
    <row r="883" spans="6:7" ht="12.75">
      <c r="F883" s="463"/>
      <c r="G883" s="463"/>
    </row>
    <row r="884" spans="6:7" ht="12.75">
      <c r="F884" s="463"/>
      <c r="G884" s="463"/>
    </row>
    <row r="885" spans="6:7" ht="12.75">
      <c r="F885" s="463"/>
      <c r="G885" s="463"/>
    </row>
    <row r="886" spans="6:7" ht="12.75">
      <c r="F886" s="463"/>
      <c r="G886" s="463"/>
    </row>
    <row r="887" spans="6:7" ht="12.75">
      <c r="F887" s="463"/>
      <c r="G887" s="463"/>
    </row>
    <row r="888" spans="6:7" ht="12.75">
      <c r="F888" s="463"/>
      <c r="G888" s="463"/>
    </row>
    <row r="889" spans="6:7" ht="12.75">
      <c r="F889" s="463"/>
      <c r="G889" s="463"/>
    </row>
    <row r="890" spans="6:7" ht="12.75">
      <c r="F890" s="463"/>
      <c r="G890" s="463"/>
    </row>
    <row r="891" spans="6:7" ht="12.75">
      <c r="F891" s="463"/>
      <c r="G891" s="463"/>
    </row>
    <row r="892" spans="6:7" ht="12.75">
      <c r="F892" s="463"/>
      <c r="G892" s="463"/>
    </row>
    <row r="893" spans="6:7" ht="12.75">
      <c r="F893" s="463"/>
      <c r="G893" s="463"/>
    </row>
    <row r="894" spans="6:7" ht="12.75">
      <c r="F894" s="463"/>
      <c r="G894" s="463"/>
    </row>
    <row r="895" spans="6:7" ht="12.75">
      <c r="F895" s="463"/>
      <c r="G895" s="463"/>
    </row>
    <row r="896" spans="6:7" ht="12.75">
      <c r="F896" s="463"/>
      <c r="G896" s="463"/>
    </row>
    <row r="897" spans="6:7" ht="12.75">
      <c r="F897" s="463"/>
      <c r="G897" s="463"/>
    </row>
    <row r="898" spans="6:7" ht="12.75">
      <c r="F898" s="463"/>
      <c r="G898" s="463"/>
    </row>
    <row r="899" spans="6:7" ht="12.75">
      <c r="F899" s="463"/>
      <c r="G899" s="463"/>
    </row>
    <row r="900" spans="6:7" ht="12.75">
      <c r="F900" s="463"/>
      <c r="G900" s="463"/>
    </row>
    <row r="901" spans="6:7" ht="12.75">
      <c r="F901" s="463"/>
      <c r="G901" s="463"/>
    </row>
    <row r="902" spans="6:7" ht="12.75">
      <c r="F902" s="463"/>
      <c r="G902" s="463"/>
    </row>
    <row r="903" spans="6:7" ht="12.75">
      <c r="F903" s="463"/>
      <c r="G903" s="463"/>
    </row>
    <row r="904" spans="6:7" ht="12.75">
      <c r="F904" s="463"/>
      <c r="G904" s="463"/>
    </row>
    <row r="905" spans="6:7" ht="12.75">
      <c r="F905" s="463"/>
      <c r="G905" s="463"/>
    </row>
    <row r="906" spans="6:7" ht="12.75">
      <c r="F906" s="463"/>
      <c r="G906" s="463"/>
    </row>
    <row r="907" spans="6:7" ht="12.75">
      <c r="F907" s="463"/>
      <c r="G907" s="463"/>
    </row>
    <row r="908" spans="6:7" ht="12.75">
      <c r="F908" s="463"/>
      <c r="G908" s="463"/>
    </row>
    <row r="909" spans="6:7" ht="12.75">
      <c r="F909" s="463"/>
      <c r="G909" s="463"/>
    </row>
    <row r="910" spans="6:7" ht="12.75">
      <c r="F910" s="463"/>
      <c r="G910" s="463"/>
    </row>
    <row r="911" spans="6:7" ht="12.75">
      <c r="F911" s="463"/>
      <c r="G911" s="463"/>
    </row>
    <row r="912" spans="6:7" ht="12.75">
      <c r="F912" s="463"/>
      <c r="G912" s="463"/>
    </row>
    <row r="913" spans="6:7" ht="12.75">
      <c r="F913" s="463"/>
      <c r="G913" s="463"/>
    </row>
    <row r="914" spans="6:7" ht="12.75">
      <c r="F914" s="463"/>
      <c r="G914" s="463"/>
    </row>
    <row r="915" spans="6:7" ht="12.75">
      <c r="F915" s="463"/>
      <c r="G915" s="463"/>
    </row>
    <row r="916" spans="6:7" ht="12.75">
      <c r="F916" s="463"/>
      <c r="G916" s="463"/>
    </row>
    <row r="917" spans="6:7" ht="12.75">
      <c r="F917" s="463"/>
      <c r="G917" s="463"/>
    </row>
    <row r="918" spans="6:7" ht="12.75">
      <c r="F918" s="463"/>
      <c r="G918" s="463"/>
    </row>
    <row r="919" spans="6:7" ht="12.75">
      <c r="F919" s="463"/>
      <c r="G919" s="463"/>
    </row>
    <row r="920" spans="6:7" ht="12.75">
      <c r="F920" s="463"/>
      <c r="G920" s="463"/>
    </row>
    <row r="921" spans="6:7" ht="12.75">
      <c r="F921" s="463"/>
      <c r="G921" s="463"/>
    </row>
    <row r="922" spans="6:7" ht="12.75">
      <c r="F922" s="463"/>
      <c r="G922" s="463"/>
    </row>
    <row r="923" spans="6:7" ht="12.75">
      <c r="F923" s="463"/>
      <c r="G923" s="463"/>
    </row>
    <row r="924" spans="6:7" ht="12.75">
      <c r="F924" s="463"/>
      <c r="G924" s="463"/>
    </row>
    <row r="925" spans="6:7" ht="12.75">
      <c r="F925" s="463"/>
      <c r="G925" s="463"/>
    </row>
    <row r="926" spans="6:7" ht="12.75">
      <c r="F926" s="463"/>
      <c r="G926" s="463"/>
    </row>
    <row r="927" spans="6:7" ht="12.75">
      <c r="F927" s="463"/>
      <c r="G927" s="463"/>
    </row>
    <row r="928" spans="6:7" ht="12.75">
      <c r="F928" s="463"/>
      <c r="G928" s="463"/>
    </row>
    <row r="929" spans="6:7" ht="12.75">
      <c r="F929" s="463"/>
      <c r="G929" s="463"/>
    </row>
    <row r="930" spans="6:7" ht="12.75">
      <c r="F930" s="463"/>
      <c r="G930" s="463"/>
    </row>
    <row r="931" spans="6:7" ht="12.75">
      <c r="F931" s="463"/>
      <c r="G931" s="463"/>
    </row>
    <row r="932" spans="6:7" ht="12.75">
      <c r="F932" s="463"/>
      <c r="G932" s="463"/>
    </row>
    <row r="933" spans="6:7" ht="12.75">
      <c r="F933" s="463"/>
      <c r="G933" s="463"/>
    </row>
    <row r="934" spans="6:7" ht="12.75">
      <c r="F934" s="463"/>
      <c r="G934" s="463"/>
    </row>
    <row r="935" spans="6:7" ht="12.75">
      <c r="F935" s="463"/>
      <c r="G935" s="463"/>
    </row>
    <row r="936" spans="6:7" ht="12.75">
      <c r="F936" s="463"/>
      <c r="G936" s="463"/>
    </row>
    <row r="937" spans="6:7" ht="12.75">
      <c r="F937" s="463"/>
      <c r="G937" s="463"/>
    </row>
    <row r="938" spans="6:7" ht="12.75">
      <c r="F938" s="463"/>
      <c r="G938" s="463"/>
    </row>
    <row r="939" spans="6:7" ht="12.75">
      <c r="F939" s="463"/>
      <c r="G939" s="463"/>
    </row>
    <row r="940" spans="6:7" ht="12.75">
      <c r="F940" s="463"/>
      <c r="G940" s="463"/>
    </row>
    <row r="941" spans="6:7" ht="12.75">
      <c r="F941" s="463"/>
      <c r="G941" s="463"/>
    </row>
    <row r="942" spans="6:7" ht="12.75">
      <c r="F942" s="463"/>
      <c r="G942" s="463"/>
    </row>
    <row r="943" spans="6:7" ht="12.75">
      <c r="F943" s="463"/>
      <c r="G943" s="463"/>
    </row>
    <row r="944" spans="6:7" ht="12.75">
      <c r="F944" s="463"/>
      <c r="G944" s="463"/>
    </row>
    <row r="945" spans="6:7" ht="12.75">
      <c r="F945" s="463"/>
      <c r="G945" s="463"/>
    </row>
    <row r="946" spans="6:7" ht="12.75">
      <c r="F946" s="463"/>
      <c r="G946" s="463"/>
    </row>
    <row r="947" spans="6:7" ht="12.75">
      <c r="F947" s="463"/>
      <c r="G947" s="463"/>
    </row>
    <row r="948" spans="6:7" ht="12.75">
      <c r="F948" s="463"/>
      <c r="G948" s="463"/>
    </row>
    <row r="949" spans="6:7" ht="12.75">
      <c r="F949" s="463"/>
      <c r="G949" s="463"/>
    </row>
    <row r="950" spans="6:7" ht="12.75">
      <c r="F950" s="463"/>
      <c r="G950" s="463"/>
    </row>
    <row r="951" spans="6:7" ht="12.75">
      <c r="F951" s="463"/>
      <c r="G951" s="463"/>
    </row>
    <row r="952" spans="6:7" ht="12.75">
      <c r="F952" s="463"/>
      <c r="G952" s="463"/>
    </row>
    <row r="953" spans="6:7" ht="12.75">
      <c r="F953" s="463"/>
      <c r="G953" s="463"/>
    </row>
    <row r="954" spans="6:7" ht="12.75">
      <c r="F954" s="463"/>
      <c r="G954" s="463"/>
    </row>
    <row r="955" spans="6:7" ht="12.75">
      <c r="F955" s="463"/>
      <c r="G955" s="463"/>
    </row>
    <row r="956" spans="6:7" ht="12.75">
      <c r="F956" s="463"/>
      <c r="G956" s="463"/>
    </row>
    <row r="957" spans="6:7" ht="12.75">
      <c r="F957" s="463"/>
      <c r="G957" s="463"/>
    </row>
    <row r="958" spans="6:7" ht="12.75">
      <c r="F958" s="463"/>
      <c r="G958" s="463"/>
    </row>
    <row r="959" spans="6:7" ht="12.75">
      <c r="F959" s="463"/>
      <c r="G959" s="463"/>
    </row>
    <row r="960" spans="6:7" ht="12.75">
      <c r="F960" s="463"/>
      <c r="G960" s="463"/>
    </row>
    <row r="961" spans="6:7" ht="12.75">
      <c r="F961" s="463"/>
      <c r="G961" s="463"/>
    </row>
    <row r="962" spans="6:7" ht="12.75">
      <c r="F962" s="463"/>
      <c r="G962" s="463"/>
    </row>
    <row r="963" spans="6:7" ht="12.75">
      <c r="F963" s="463"/>
      <c r="G963" s="463"/>
    </row>
    <row r="964" spans="6:7" ht="12.75">
      <c r="F964" s="463"/>
      <c r="G964" s="463"/>
    </row>
    <row r="965" spans="6:7" ht="12.75">
      <c r="F965" s="463"/>
      <c r="G965" s="463"/>
    </row>
    <row r="966" spans="6:7" ht="12.75">
      <c r="F966" s="463"/>
      <c r="G966" s="463"/>
    </row>
    <row r="967" spans="6:7" ht="12.75">
      <c r="F967" s="463"/>
      <c r="G967" s="463"/>
    </row>
    <row r="968" spans="6:7" ht="12.75">
      <c r="F968" s="463"/>
      <c r="G968" s="463"/>
    </row>
    <row r="969" spans="6:7" ht="12.75">
      <c r="F969" s="463"/>
      <c r="G969" s="463"/>
    </row>
    <row r="970" spans="6:7" ht="12.75">
      <c r="F970" s="463"/>
      <c r="G970" s="463"/>
    </row>
    <row r="971" spans="6:7" ht="12.75">
      <c r="F971" s="463"/>
      <c r="G971" s="463"/>
    </row>
    <row r="972" spans="6:7" ht="12.75">
      <c r="F972" s="463"/>
      <c r="G972" s="463"/>
    </row>
    <row r="973" spans="6:7" ht="12.75">
      <c r="F973" s="463"/>
      <c r="G973" s="463"/>
    </row>
    <row r="974" spans="6:7" ht="12.75">
      <c r="F974" s="463"/>
      <c r="G974" s="463"/>
    </row>
    <row r="975" spans="6:7" ht="12.75">
      <c r="F975" s="463"/>
      <c r="G975" s="463"/>
    </row>
    <row r="976" spans="6:7" ht="12.75">
      <c r="F976" s="463"/>
      <c r="G976" s="463"/>
    </row>
    <row r="977" spans="6:7" ht="12.75">
      <c r="F977" s="463"/>
      <c r="G977" s="463"/>
    </row>
    <row r="978" spans="6:7" ht="12.75">
      <c r="F978" s="463"/>
      <c r="G978" s="463"/>
    </row>
    <row r="979" spans="6:7" ht="12.75">
      <c r="F979" s="463"/>
      <c r="G979" s="463"/>
    </row>
    <row r="980" spans="6:7" ht="12.75">
      <c r="F980" s="463"/>
      <c r="G980" s="463"/>
    </row>
    <row r="981" spans="6:7" ht="12.75">
      <c r="F981" s="463"/>
      <c r="G981" s="463"/>
    </row>
    <row r="982" spans="6:7" ht="12.75">
      <c r="F982" s="463"/>
      <c r="G982" s="463"/>
    </row>
    <row r="983" spans="6:7" ht="12.75">
      <c r="F983" s="463"/>
      <c r="G983" s="463"/>
    </row>
    <row r="984" spans="6:7" ht="12.75">
      <c r="F984" s="463"/>
      <c r="G984" s="463"/>
    </row>
    <row r="985" spans="6:7" ht="12.75">
      <c r="F985" s="463"/>
      <c r="G985" s="463"/>
    </row>
    <row r="986" spans="6:7" ht="12.75">
      <c r="F986" s="463"/>
      <c r="G986" s="463"/>
    </row>
    <row r="987" spans="6:7" ht="12.75">
      <c r="F987" s="463"/>
      <c r="G987" s="463"/>
    </row>
    <row r="988" spans="6:7" ht="12.75">
      <c r="F988" s="463"/>
      <c r="G988" s="463"/>
    </row>
    <row r="989" spans="6:7" ht="12.75">
      <c r="F989" s="463"/>
      <c r="G989" s="463"/>
    </row>
    <row r="990" spans="6:7" ht="12.75">
      <c r="F990" s="463"/>
      <c r="G990" s="463"/>
    </row>
    <row r="991" spans="6:7" ht="12.75">
      <c r="F991" s="463"/>
      <c r="G991" s="463"/>
    </row>
    <row r="992" spans="6:7" ht="12.75">
      <c r="F992" s="463"/>
      <c r="G992" s="463"/>
    </row>
    <row r="993" spans="6:7" ht="12.75">
      <c r="F993" s="463"/>
      <c r="G993" s="463"/>
    </row>
    <row r="994" spans="6:7" ht="12.75">
      <c r="F994" s="463"/>
      <c r="G994" s="463"/>
    </row>
    <row r="995" spans="6:7" ht="12.75">
      <c r="F995" s="463"/>
      <c r="G995" s="463"/>
    </row>
    <row r="996" spans="6:7" ht="12.75">
      <c r="F996" s="463"/>
      <c r="G996" s="463"/>
    </row>
    <row r="997" spans="6:7" ht="12.75">
      <c r="F997" s="463"/>
      <c r="G997" s="463"/>
    </row>
    <row r="998" spans="6:7" ht="12.75">
      <c r="F998" s="463"/>
      <c r="G998" s="463"/>
    </row>
    <row r="999" spans="6:7" ht="12.75">
      <c r="F999" s="463"/>
      <c r="G999" s="463"/>
    </row>
    <row r="1000" spans="6:7" ht="12.75">
      <c r="F1000" s="463"/>
      <c r="G1000" s="463"/>
    </row>
    <row r="1001" spans="6:7" ht="12.75">
      <c r="F1001" s="463"/>
      <c r="G1001" s="463"/>
    </row>
    <row r="1002" spans="6:7" ht="12.75">
      <c r="F1002" s="463"/>
      <c r="G1002" s="463"/>
    </row>
    <row r="1003" spans="6:7" ht="12.75">
      <c r="F1003" s="463"/>
      <c r="G1003" s="463"/>
    </row>
    <row r="1004" spans="6:7" ht="12.75">
      <c r="F1004" s="463"/>
      <c r="G1004" s="463"/>
    </row>
    <row r="1005" spans="6:7" ht="12.75">
      <c r="F1005" s="463"/>
      <c r="G1005" s="463"/>
    </row>
    <row r="1006" spans="6:7" ht="12.75">
      <c r="F1006" s="463"/>
      <c r="G1006" s="463"/>
    </row>
    <row r="1007" spans="6:7" ht="12.75">
      <c r="F1007" s="463"/>
      <c r="G1007" s="463"/>
    </row>
    <row r="1008" spans="6:7" ht="12.75">
      <c r="F1008" s="463"/>
      <c r="G1008" s="463"/>
    </row>
    <row r="1009" spans="6:7" ht="12.75">
      <c r="F1009" s="463"/>
      <c r="G1009" s="463"/>
    </row>
    <row r="1010" spans="6:7" ht="12.75">
      <c r="F1010" s="463"/>
      <c r="G1010" s="463"/>
    </row>
    <row r="1011" spans="6:7" ht="12.75">
      <c r="F1011" s="463"/>
      <c r="G1011" s="463"/>
    </row>
    <row r="1012" spans="6:7" ht="12.75">
      <c r="F1012" s="463"/>
      <c r="G1012" s="463"/>
    </row>
    <row r="1013" spans="6:7" ht="12.75">
      <c r="F1013" s="463"/>
      <c r="G1013" s="463"/>
    </row>
    <row r="1014" spans="6:7" ht="12.75">
      <c r="F1014" s="463"/>
      <c r="G1014" s="463"/>
    </row>
    <row r="1015" spans="6:7" ht="12.75">
      <c r="F1015" s="463"/>
      <c r="G1015" s="463"/>
    </row>
    <row r="1016" spans="6:7" ht="12.75">
      <c r="F1016" s="463"/>
      <c r="G1016" s="463"/>
    </row>
    <row r="1017" spans="6:7" ht="12.75">
      <c r="F1017" s="463"/>
      <c r="G1017" s="463"/>
    </row>
    <row r="1018" spans="6:7" ht="12.75">
      <c r="F1018" s="463"/>
      <c r="G1018" s="463"/>
    </row>
    <row r="1019" spans="6:7" ht="12.75">
      <c r="F1019" s="463"/>
      <c r="G1019" s="463"/>
    </row>
    <row r="1020" spans="6:7" ht="12.75">
      <c r="F1020" s="463"/>
      <c r="G1020" s="463"/>
    </row>
    <row r="1021" spans="6:7" ht="12.75">
      <c r="F1021" s="463"/>
      <c r="G1021" s="463"/>
    </row>
    <row r="1022" spans="6:7" ht="12.75">
      <c r="F1022" s="463"/>
      <c r="G1022" s="463"/>
    </row>
    <row r="1023" spans="6:7" ht="12.75">
      <c r="F1023" s="463"/>
      <c r="G1023" s="463"/>
    </row>
    <row r="1024" spans="6:7" ht="12.75">
      <c r="F1024" s="463"/>
      <c r="G1024" s="463"/>
    </row>
    <row r="1025" spans="6:7" ht="12.75">
      <c r="F1025" s="463"/>
      <c r="G1025" s="463"/>
    </row>
    <row r="1026" spans="6:7" ht="12.75">
      <c r="F1026" s="463"/>
      <c r="G1026" s="463"/>
    </row>
    <row r="1027" spans="6:7" ht="12.75">
      <c r="F1027" s="463"/>
      <c r="G1027" s="463"/>
    </row>
    <row r="1028" spans="6:7" ht="12.75">
      <c r="F1028" s="463"/>
      <c r="G1028" s="463"/>
    </row>
    <row r="1029" spans="6:7" ht="12.75">
      <c r="F1029" s="463"/>
      <c r="G1029" s="463"/>
    </row>
    <row r="1030" spans="6:7" ht="12.75">
      <c r="F1030" s="463"/>
      <c r="G1030" s="463"/>
    </row>
    <row r="1031" spans="6:7" ht="12.75">
      <c r="F1031" s="463"/>
      <c r="G1031" s="463"/>
    </row>
    <row r="1032" spans="6:7" ht="12.75">
      <c r="F1032" s="463"/>
      <c r="G1032" s="463"/>
    </row>
    <row r="1033" spans="6:7" ht="12.75">
      <c r="F1033" s="463"/>
      <c r="G1033" s="463"/>
    </row>
    <row r="1034" spans="6:7" ht="12.75">
      <c r="F1034" s="463"/>
      <c r="G1034" s="463"/>
    </row>
    <row r="1035" spans="6:7" ht="12.75">
      <c r="F1035" s="463"/>
      <c r="G1035" s="463"/>
    </row>
    <row r="1036" spans="6:7" ht="12.75">
      <c r="F1036" s="463"/>
      <c r="G1036" s="463"/>
    </row>
    <row r="1037" spans="6:7" ht="12.75">
      <c r="F1037" s="463"/>
      <c r="G1037" s="463"/>
    </row>
    <row r="1038" spans="6:7" ht="12.75">
      <c r="F1038" s="463"/>
      <c r="G1038" s="463"/>
    </row>
    <row r="1039" spans="6:7" ht="12.75">
      <c r="F1039" s="463"/>
      <c r="G1039" s="463"/>
    </row>
    <row r="1040" spans="6:7" ht="12.75">
      <c r="F1040" s="463"/>
      <c r="G1040" s="463"/>
    </row>
    <row r="1041" spans="6:7" ht="12.75">
      <c r="F1041" s="463"/>
      <c r="G1041" s="463"/>
    </row>
    <row r="1042" spans="6:7" ht="12.75">
      <c r="F1042" s="463"/>
      <c r="G1042" s="463"/>
    </row>
    <row r="1043" spans="6:7" ht="12.75">
      <c r="F1043" s="463"/>
      <c r="G1043" s="463"/>
    </row>
    <row r="1044" spans="6:7" ht="12.75">
      <c r="F1044" s="463"/>
      <c r="G1044" s="463"/>
    </row>
    <row r="1045" spans="6:7" ht="12.75">
      <c r="F1045" s="463"/>
      <c r="G1045" s="463"/>
    </row>
    <row r="1046" spans="6:7" ht="12.75">
      <c r="F1046" s="463"/>
      <c r="G1046" s="463"/>
    </row>
    <row r="1047" spans="6:7" ht="12.75">
      <c r="F1047" s="463"/>
      <c r="G1047" s="463"/>
    </row>
    <row r="1048" spans="6:7" ht="12.75">
      <c r="F1048" s="463"/>
      <c r="G1048" s="463"/>
    </row>
    <row r="1049" spans="6:7" ht="12.75">
      <c r="F1049" s="463"/>
      <c r="G1049" s="463"/>
    </row>
    <row r="1050" spans="6:7" ht="12.75">
      <c r="F1050" s="463"/>
      <c r="G1050" s="463"/>
    </row>
    <row r="1051" spans="6:7" ht="12.75">
      <c r="F1051" s="463"/>
      <c r="G1051" s="463"/>
    </row>
    <row r="1052" spans="6:7" ht="12.75">
      <c r="F1052" s="463"/>
      <c r="G1052" s="463"/>
    </row>
    <row r="1053" spans="6:7" ht="12.75">
      <c r="F1053" s="463"/>
      <c r="G1053" s="463"/>
    </row>
    <row r="1054" spans="6:7" ht="12.75">
      <c r="F1054" s="463"/>
      <c r="G1054" s="463"/>
    </row>
    <row r="1055" spans="6:7" ht="12.75">
      <c r="F1055" s="463"/>
      <c r="G1055" s="463"/>
    </row>
    <row r="1056" spans="6:7" ht="12.75">
      <c r="F1056" s="463"/>
      <c r="G1056" s="463"/>
    </row>
    <row r="1057" spans="6:7" ht="12.75">
      <c r="F1057" s="463"/>
      <c r="G1057" s="463"/>
    </row>
    <row r="1058" spans="6:7" ht="12.75">
      <c r="F1058" s="463"/>
      <c r="G1058" s="463"/>
    </row>
    <row r="1059" spans="6:7" ht="12.75">
      <c r="F1059" s="463"/>
      <c r="G1059" s="463"/>
    </row>
    <row r="1060" spans="6:7" ht="12.75">
      <c r="F1060" s="463"/>
      <c r="G1060" s="463"/>
    </row>
    <row r="1061" spans="6:7" ht="12.75">
      <c r="F1061" s="463"/>
      <c r="G1061" s="463"/>
    </row>
    <row r="1062" spans="6:7" ht="12.75">
      <c r="F1062" s="463"/>
      <c r="G1062" s="463"/>
    </row>
    <row r="1063" spans="6:7" ht="12.75">
      <c r="F1063" s="463"/>
      <c r="G1063" s="463"/>
    </row>
    <row r="1064" spans="6:7" ht="12.75">
      <c r="F1064" s="463"/>
      <c r="G1064" s="463"/>
    </row>
    <row r="1065" spans="6:7" ht="12.75">
      <c r="F1065" s="463"/>
      <c r="G1065" s="463"/>
    </row>
    <row r="1066" spans="6:7" ht="12.75">
      <c r="F1066" s="463"/>
      <c r="G1066" s="463"/>
    </row>
    <row r="1067" spans="6:7" ht="12.75">
      <c r="F1067" s="463"/>
      <c r="G1067" s="463"/>
    </row>
    <row r="1068" spans="6:7" ht="12.75">
      <c r="F1068" s="463"/>
      <c r="G1068" s="463"/>
    </row>
    <row r="1069" spans="6:7" ht="12.75">
      <c r="F1069" s="463"/>
      <c r="G1069" s="463"/>
    </row>
    <row r="1070" spans="6:7" ht="12.75">
      <c r="F1070" s="463"/>
      <c r="G1070" s="463"/>
    </row>
    <row r="1071" spans="6:7" ht="12.75">
      <c r="F1071" s="463"/>
      <c r="G1071" s="463"/>
    </row>
    <row r="1072" spans="6:7" ht="12.75">
      <c r="F1072" s="463"/>
      <c r="G1072" s="463"/>
    </row>
    <row r="1073" spans="6:7" ht="12.75">
      <c r="F1073" s="463"/>
      <c r="G1073" s="463"/>
    </row>
    <row r="1074" spans="6:7" ht="12.75">
      <c r="F1074" s="463"/>
      <c r="G1074" s="463"/>
    </row>
    <row r="1075" spans="6:7" ht="12.75">
      <c r="F1075" s="463"/>
      <c r="G1075" s="463"/>
    </row>
    <row r="1076" spans="6:7" ht="12.75">
      <c r="F1076" s="463"/>
      <c r="G1076" s="463"/>
    </row>
    <row r="1077" spans="6:7" ht="12.75">
      <c r="F1077" s="463"/>
      <c r="G1077" s="463"/>
    </row>
    <row r="1078" spans="6:7" ht="12.75">
      <c r="F1078" s="463"/>
      <c r="G1078" s="463"/>
    </row>
    <row r="1079" spans="6:7" ht="12.75">
      <c r="F1079" s="463"/>
      <c r="G1079" s="463"/>
    </row>
    <row r="1080" spans="6:7" ht="12.75">
      <c r="F1080" s="463"/>
      <c r="G1080" s="463"/>
    </row>
    <row r="1081" spans="6:7" ht="12.75">
      <c r="F1081" s="463"/>
      <c r="G1081" s="463"/>
    </row>
    <row r="1082" spans="6:7" ht="12.75">
      <c r="F1082" s="463"/>
      <c r="G1082" s="463"/>
    </row>
    <row r="1083" spans="6:7" ht="12.75">
      <c r="F1083" s="463"/>
      <c r="G1083" s="463"/>
    </row>
    <row r="1084" spans="6:7" ht="12.75">
      <c r="F1084" s="463"/>
      <c r="G1084" s="463"/>
    </row>
    <row r="1085" spans="6:7" ht="12.75">
      <c r="F1085" s="463"/>
      <c r="G1085" s="463"/>
    </row>
    <row r="1086" spans="6:7" ht="12.75">
      <c r="F1086" s="463"/>
      <c r="G1086" s="463"/>
    </row>
    <row r="1087" spans="6:7" ht="12.75">
      <c r="F1087" s="463"/>
      <c r="G1087" s="463"/>
    </row>
    <row r="1088" spans="6:7" ht="12.75">
      <c r="F1088" s="463"/>
      <c r="G1088" s="463"/>
    </row>
    <row r="1089" spans="6:7" ht="12.75">
      <c r="F1089" s="463"/>
      <c r="G1089" s="463"/>
    </row>
    <row r="1090" spans="6:7" ht="12.75">
      <c r="F1090" s="463"/>
      <c r="G1090" s="463"/>
    </row>
    <row r="1091" spans="6:7" ht="12.75">
      <c r="F1091" s="463"/>
      <c r="G1091" s="463"/>
    </row>
    <row r="1092" spans="6:7" ht="12.75">
      <c r="F1092" s="463"/>
      <c r="G1092" s="463"/>
    </row>
    <row r="1093" spans="6:7" ht="12.75">
      <c r="F1093" s="463"/>
      <c r="G1093" s="463"/>
    </row>
    <row r="1094" spans="6:7" ht="12.75">
      <c r="F1094" s="463"/>
      <c r="G1094" s="463"/>
    </row>
    <row r="1095" spans="6:7" ht="12.75">
      <c r="F1095" s="463"/>
      <c r="G1095" s="463"/>
    </row>
    <row r="1096" spans="6:7" ht="12.75">
      <c r="F1096" s="463"/>
      <c r="G1096" s="463"/>
    </row>
    <row r="1097" spans="6:7" ht="12.75">
      <c r="F1097" s="463"/>
      <c r="G1097" s="463"/>
    </row>
    <row r="1098" spans="6:7" ht="12.75">
      <c r="F1098" s="463"/>
      <c r="G1098" s="463"/>
    </row>
    <row r="1099" spans="6:7" ht="12.75">
      <c r="F1099" s="463"/>
      <c r="G1099" s="463"/>
    </row>
    <row r="1100" spans="6:7" ht="12.75">
      <c r="F1100" s="463"/>
      <c r="G1100" s="463"/>
    </row>
    <row r="1101" spans="6:7" ht="12.75">
      <c r="F1101" s="463"/>
      <c r="G1101" s="463"/>
    </row>
    <row r="1102" spans="6:7" ht="12.75">
      <c r="F1102" s="463"/>
      <c r="G1102" s="463"/>
    </row>
    <row r="1103" spans="6:7" ht="12.75">
      <c r="F1103" s="463"/>
      <c r="G1103" s="463"/>
    </row>
    <row r="1104" spans="6:7" ht="12.75">
      <c r="F1104" s="463"/>
      <c r="G1104" s="463"/>
    </row>
    <row r="1105" spans="6:7" ht="12.75">
      <c r="F1105" s="463"/>
      <c r="G1105" s="463"/>
    </row>
    <row r="1106" spans="6:7" ht="12.75">
      <c r="F1106" s="463"/>
      <c r="G1106" s="463"/>
    </row>
    <row r="1107" spans="6:7" ht="12.75">
      <c r="F1107" s="463"/>
      <c r="G1107" s="463"/>
    </row>
    <row r="1108" spans="6:7" ht="12.75">
      <c r="F1108" s="463"/>
      <c r="G1108" s="463"/>
    </row>
    <row r="1109" spans="6:7" ht="12.75">
      <c r="F1109" s="463"/>
      <c r="G1109" s="463"/>
    </row>
    <row r="1110" spans="6:7" ht="12.75">
      <c r="F1110" s="463"/>
      <c r="G1110" s="463"/>
    </row>
    <row r="1111" spans="6:7" ht="12.75">
      <c r="F1111" s="463"/>
      <c r="G1111" s="463"/>
    </row>
    <row r="1112" spans="6:7" ht="12.75">
      <c r="F1112" s="463"/>
      <c r="G1112" s="463"/>
    </row>
    <row r="1113" spans="6:7" ht="12.75">
      <c r="F1113" s="463"/>
      <c r="G1113" s="463"/>
    </row>
    <row r="1114" spans="6:7" ht="12.75">
      <c r="F1114" s="463"/>
      <c r="G1114" s="463"/>
    </row>
    <row r="1115" spans="6:7" ht="12.75">
      <c r="F1115" s="463"/>
      <c r="G1115" s="463"/>
    </row>
    <row r="1116" spans="6:7" ht="12.75">
      <c r="F1116" s="463"/>
      <c r="G1116" s="463"/>
    </row>
    <row r="1117" spans="6:7" ht="12.75">
      <c r="F1117" s="463"/>
      <c r="G1117" s="463"/>
    </row>
    <row r="1118" spans="6:7" ht="12.75">
      <c r="F1118" s="463"/>
      <c r="G1118" s="463"/>
    </row>
    <row r="1119" spans="6:7" ht="12.75">
      <c r="F1119" s="463"/>
      <c r="G1119" s="463"/>
    </row>
    <row r="1120" spans="6:7" ht="12.75">
      <c r="F1120" s="463"/>
      <c r="G1120" s="463"/>
    </row>
    <row r="1121" spans="6:7" ht="12.75">
      <c r="F1121" s="463"/>
      <c r="G1121" s="463"/>
    </row>
    <row r="1122" spans="6:7" ht="12.75">
      <c r="F1122" s="463"/>
      <c r="G1122" s="463"/>
    </row>
    <row r="1123" spans="6:7" ht="12.75">
      <c r="F1123" s="463"/>
      <c r="G1123" s="463"/>
    </row>
    <row r="1124" spans="6:7" ht="12.75">
      <c r="F1124" s="463"/>
      <c r="G1124" s="463"/>
    </row>
    <row r="1125" spans="6:7" ht="12.75">
      <c r="F1125" s="463"/>
      <c r="G1125" s="463"/>
    </row>
    <row r="1126" spans="6:7" ht="12.75">
      <c r="F1126" s="463"/>
      <c r="G1126" s="463"/>
    </row>
    <row r="1127" spans="6:7" ht="12.75">
      <c r="F1127" s="463"/>
      <c r="G1127" s="463"/>
    </row>
    <row r="1128" spans="6:7" ht="12.75">
      <c r="F1128" s="463"/>
      <c r="G1128" s="463"/>
    </row>
    <row r="1129" spans="6:7" ht="12.75">
      <c r="F1129" s="463"/>
      <c r="G1129" s="463"/>
    </row>
    <row r="1130" spans="6:7" ht="12.75">
      <c r="F1130" s="463"/>
      <c r="G1130" s="463"/>
    </row>
    <row r="1131" spans="6:7" ht="12.75">
      <c r="F1131" s="463"/>
      <c r="G1131" s="463"/>
    </row>
    <row r="1132" spans="6:7" ht="12.75">
      <c r="F1132" s="463"/>
      <c r="G1132" s="463"/>
    </row>
    <row r="1133" spans="6:7" ht="12.75">
      <c r="F1133" s="463"/>
      <c r="G1133" s="463"/>
    </row>
    <row r="1134" spans="6:7" ht="12.75">
      <c r="F1134" s="463"/>
      <c r="G1134" s="463"/>
    </row>
    <row r="1135" spans="6:7" ht="12.75">
      <c r="F1135" s="463"/>
      <c r="G1135" s="463"/>
    </row>
    <row r="1136" spans="6:7" ht="12.75">
      <c r="F1136" s="463"/>
      <c r="G1136" s="463"/>
    </row>
    <row r="1137" spans="6:7" ht="12.75">
      <c r="F1137" s="463"/>
      <c r="G1137" s="463"/>
    </row>
    <row r="1138" spans="6:7" ht="12.75">
      <c r="F1138" s="463"/>
      <c r="G1138" s="463"/>
    </row>
    <row r="1139" spans="6:7" ht="12.75">
      <c r="F1139" s="463"/>
      <c r="G1139" s="463"/>
    </row>
    <row r="1140" spans="6:7" ht="12.75">
      <c r="F1140" s="463"/>
      <c r="G1140" s="463"/>
    </row>
    <row r="1141" spans="6:7" ht="12.75">
      <c r="F1141" s="463"/>
      <c r="G1141" s="463"/>
    </row>
    <row r="1142" spans="6:7" ht="12.75">
      <c r="F1142" s="463"/>
      <c r="G1142" s="463"/>
    </row>
    <row r="1143" spans="6:7" ht="12.75">
      <c r="F1143" s="463"/>
      <c r="G1143" s="463"/>
    </row>
    <row r="1144" spans="6:7" ht="12.75">
      <c r="F1144" s="463"/>
      <c r="G1144" s="463"/>
    </row>
    <row r="1145" spans="6:7" ht="12.75">
      <c r="F1145" s="463"/>
      <c r="G1145" s="463"/>
    </row>
    <row r="1146" spans="6:7" ht="12.75">
      <c r="F1146" s="463"/>
      <c r="G1146" s="463"/>
    </row>
    <row r="1147" spans="6:7" ht="12.75">
      <c r="F1147" s="463"/>
      <c r="G1147" s="463"/>
    </row>
    <row r="1148" spans="6:7" ht="12.75">
      <c r="F1148" s="463"/>
      <c r="G1148" s="463"/>
    </row>
    <row r="1149" spans="6:7" ht="12.75">
      <c r="F1149" s="463"/>
      <c r="G1149" s="463"/>
    </row>
    <row r="1150" spans="6:7" ht="12.75">
      <c r="F1150" s="463"/>
      <c r="G1150" s="463"/>
    </row>
    <row r="1151" spans="6:7" ht="12.75">
      <c r="F1151" s="463"/>
      <c r="G1151" s="463"/>
    </row>
    <row r="1152" spans="6:7" ht="12.75">
      <c r="F1152" s="463"/>
      <c r="G1152" s="463"/>
    </row>
    <row r="1153" spans="6:7" ht="12.75">
      <c r="F1153" s="463"/>
      <c r="G1153" s="463"/>
    </row>
    <row r="1154" spans="6:7" ht="12.75">
      <c r="F1154" s="463"/>
      <c r="G1154" s="463"/>
    </row>
    <row r="1155" spans="6:7" ht="12.75">
      <c r="F1155" s="463"/>
      <c r="G1155" s="463"/>
    </row>
    <row r="1156" spans="6:7" ht="12.75">
      <c r="F1156" s="463"/>
      <c r="G1156" s="463"/>
    </row>
    <row r="1157" spans="6:7" ht="12.75">
      <c r="F1157" s="463"/>
      <c r="G1157" s="463"/>
    </row>
    <row r="1158" spans="6:7" ht="12.75">
      <c r="F1158" s="463"/>
      <c r="G1158" s="463"/>
    </row>
    <row r="1159" spans="6:7" ht="12.75">
      <c r="F1159" s="463"/>
      <c r="G1159" s="463"/>
    </row>
    <row r="1160" spans="6:7" ht="12.75">
      <c r="F1160" s="463"/>
      <c r="G1160" s="463"/>
    </row>
    <row r="1161" spans="6:7" ht="12.75">
      <c r="F1161" s="463"/>
      <c r="G1161" s="463"/>
    </row>
    <row r="1162" spans="6:7" ht="12.75">
      <c r="F1162" s="463"/>
      <c r="G1162" s="463"/>
    </row>
    <row r="1163" spans="6:7" ht="12.75">
      <c r="F1163" s="463"/>
      <c r="G1163" s="463"/>
    </row>
    <row r="1164" spans="6:7" ht="12.75">
      <c r="F1164" s="463"/>
      <c r="G1164" s="463"/>
    </row>
    <row r="1165" spans="6:7" ht="12.75">
      <c r="F1165" s="463"/>
      <c r="G1165" s="463"/>
    </row>
    <row r="1166" spans="6:7" ht="12.75">
      <c r="F1166" s="463"/>
      <c r="G1166" s="463"/>
    </row>
    <row r="1167" spans="6:7" ht="12.75">
      <c r="F1167" s="463"/>
      <c r="G1167" s="463"/>
    </row>
    <row r="1168" spans="6:7" ht="12.75">
      <c r="F1168" s="463"/>
      <c r="G1168" s="463"/>
    </row>
    <row r="1169" spans="6:7" ht="12.75">
      <c r="F1169" s="463"/>
      <c r="G1169" s="463"/>
    </row>
    <row r="1170" spans="6:7" ht="12.75">
      <c r="F1170" s="463"/>
      <c r="G1170" s="463"/>
    </row>
    <row r="1171" spans="6:7" ht="12.75">
      <c r="F1171" s="463"/>
      <c r="G1171" s="463"/>
    </row>
    <row r="1172" spans="6:7" ht="12.75">
      <c r="F1172" s="463"/>
      <c r="G1172" s="463"/>
    </row>
    <row r="1173" spans="6:7" ht="12.75">
      <c r="F1173" s="463"/>
      <c r="G1173" s="463"/>
    </row>
    <row r="1174" spans="6:7" ht="12.75">
      <c r="F1174" s="463"/>
      <c r="G1174" s="463"/>
    </row>
    <row r="1175" spans="6:7" ht="12.75">
      <c r="F1175" s="463"/>
      <c r="G1175" s="463"/>
    </row>
    <row r="1176" spans="6:7" ht="12.75">
      <c r="F1176" s="463"/>
      <c r="G1176" s="463"/>
    </row>
    <row r="1177" spans="6:7" ht="12.75">
      <c r="F1177" s="463"/>
      <c r="G1177" s="463"/>
    </row>
    <row r="1178" spans="6:7" ht="12.75">
      <c r="F1178" s="463"/>
      <c r="G1178" s="463"/>
    </row>
    <row r="1179" spans="6:7" ht="12.75">
      <c r="F1179" s="463"/>
      <c r="G1179" s="463"/>
    </row>
    <row r="1180" spans="6:7" ht="12.75">
      <c r="F1180" s="463"/>
      <c r="G1180" s="463"/>
    </row>
    <row r="1181" spans="6:7" ht="12.75">
      <c r="F1181" s="463"/>
      <c r="G1181" s="463"/>
    </row>
    <row r="1182" spans="6:7" ht="12.75">
      <c r="F1182" s="463"/>
      <c r="G1182" s="463"/>
    </row>
    <row r="1183" spans="6:7" ht="12.75">
      <c r="F1183" s="463"/>
      <c r="G1183" s="463"/>
    </row>
    <row r="1184" spans="6:7" ht="12.75">
      <c r="F1184" s="463"/>
      <c r="G1184" s="463"/>
    </row>
    <row r="1185" spans="6:7" ht="12.75">
      <c r="F1185" s="463"/>
      <c r="G1185" s="463"/>
    </row>
    <row r="1186" spans="6:7" ht="12.75">
      <c r="F1186" s="463"/>
      <c r="G1186" s="463"/>
    </row>
    <row r="1187" spans="6:7" ht="12.75">
      <c r="F1187" s="463"/>
      <c r="G1187" s="463"/>
    </row>
    <row r="1188" spans="6:7" ht="12.75">
      <c r="F1188" s="463"/>
      <c r="G1188" s="463"/>
    </row>
    <row r="1189" spans="6:7" ht="12.75">
      <c r="F1189" s="463"/>
      <c r="G1189" s="463"/>
    </row>
    <row r="1190" spans="6:7" ht="12.75">
      <c r="F1190" s="463"/>
      <c r="G1190" s="463"/>
    </row>
    <row r="1191" spans="6:7" ht="12.75">
      <c r="F1191" s="463"/>
      <c r="G1191" s="463"/>
    </row>
    <row r="1192" spans="6:7" ht="12.75">
      <c r="F1192" s="463"/>
      <c r="G1192" s="463"/>
    </row>
    <row r="1193" spans="6:7" ht="12.75">
      <c r="F1193" s="463"/>
      <c r="G1193" s="463"/>
    </row>
    <row r="1194" spans="6:7" ht="12.75">
      <c r="F1194" s="463"/>
      <c r="G1194" s="463"/>
    </row>
    <row r="1195" spans="6:7" ht="12.75">
      <c r="F1195" s="463"/>
      <c r="G1195" s="463"/>
    </row>
    <row r="1196" spans="6:7" ht="12.75">
      <c r="F1196" s="463"/>
      <c r="G1196" s="463"/>
    </row>
    <row r="1197" spans="6:7" ht="12.75">
      <c r="F1197" s="463"/>
      <c r="G1197" s="463"/>
    </row>
    <row r="1198" spans="6:7" ht="12.75">
      <c r="F1198" s="463"/>
      <c r="G1198" s="463"/>
    </row>
    <row r="1199" spans="6:7" ht="12.75">
      <c r="F1199" s="463"/>
      <c r="G1199" s="463"/>
    </row>
    <row r="1200" spans="6:7" ht="12.75">
      <c r="F1200" s="463"/>
      <c r="G1200" s="463"/>
    </row>
    <row r="1201" spans="6:7" ht="12.75">
      <c r="F1201" s="463"/>
      <c r="G1201" s="463"/>
    </row>
    <row r="1202" spans="6:7" ht="12.75">
      <c r="F1202" s="463"/>
      <c r="G1202" s="463"/>
    </row>
    <row r="1203" spans="6:7" ht="12.75">
      <c r="F1203" s="463"/>
      <c r="G1203" s="463"/>
    </row>
    <row r="1204" spans="6:7" ht="12.75">
      <c r="F1204" s="463"/>
      <c r="G1204" s="463"/>
    </row>
    <row r="1205" spans="6:7" ht="12.75">
      <c r="F1205" s="463"/>
      <c r="G1205" s="463"/>
    </row>
    <row r="1206" spans="6:7" ht="12.75">
      <c r="F1206" s="463"/>
      <c r="G1206" s="463"/>
    </row>
    <row r="1207" spans="6:7" ht="12.75">
      <c r="F1207" s="463"/>
      <c r="G1207" s="463"/>
    </row>
    <row r="1208" spans="6:7" ht="12.75">
      <c r="F1208" s="463"/>
      <c r="G1208" s="463"/>
    </row>
    <row r="1209" spans="6:7" ht="12.75">
      <c r="F1209" s="463"/>
      <c r="G1209" s="463"/>
    </row>
    <row r="1210" spans="6:7" ht="12.75">
      <c r="F1210" s="463"/>
      <c r="G1210" s="463"/>
    </row>
    <row r="1211" spans="6:7" ht="12.75">
      <c r="F1211" s="463"/>
      <c r="G1211" s="463"/>
    </row>
    <row r="1212" spans="6:7" ht="12.75">
      <c r="F1212" s="463"/>
      <c r="G1212" s="463"/>
    </row>
    <row r="1213" spans="6:7" ht="12.75">
      <c r="F1213" s="463"/>
      <c r="G1213" s="463"/>
    </row>
    <row r="1214" spans="6:7" ht="12.75">
      <c r="F1214" s="463"/>
      <c r="G1214" s="463"/>
    </row>
    <row r="1215" spans="6:7" ht="12.75">
      <c r="F1215" s="463"/>
      <c r="G1215" s="463"/>
    </row>
    <row r="1216" spans="6:7" ht="12.75">
      <c r="F1216" s="463"/>
      <c r="G1216" s="463"/>
    </row>
    <row r="1217" spans="6:7" ht="12.75">
      <c r="F1217" s="463"/>
      <c r="G1217" s="463"/>
    </row>
    <row r="1218" spans="6:7" ht="12.75">
      <c r="F1218" s="463"/>
      <c r="G1218" s="463"/>
    </row>
    <row r="1219" spans="6:7" ht="12.75">
      <c r="F1219" s="463"/>
      <c r="G1219" s="463"/>
    </row>
    <row r="1220" spans="6:7" ht="12.75">
      <c r="F1220" s="463"/>
      <c r="G1220" s="463"/>
    </row>
    <row r="1221" spans="6:7" ht="12.75">
      <c r="F1221" s="463"/>
      <c r="G1221" s="463"/>
    </row>
    <row r="1222" spans="6:7" ht="12.75">
      <c r="F1222" s="463"/>
      <c r="G1222" s="463"/>
    </row>
    <row r="1223" spans="6:7" ht="12.75">
      <c r="F1223" s="463"/>
      <c r="G1223" s="463"/>
    </row>
    <row r="1224" spans="6:7" ht="12.75">
      <c r="F1224" s="463"/>
      <c r="G1224" s="463"/>
    </row>
    <row r="1225" spans="6:7" ht="12.75">
      <c r="F1225" s="463"/>
      <c r="G1225" s="463"/>
    </row>
    <row r="1226" spans="6:7" ht="12.75">
      <c r="F1226" s="463"/>
      <c r="G1226" s="463"/>
    </row>
    <row r="1227" spans="6:7" ht="12.75">
      <c r="F1227" s="463"/>
      <c r="G1227" s="463"/>
    </row>
    <row r="1228" spans="6:7" ht="12.75">
      <c r="F1228" s="463"/>
      <c r="G1228" s="463"/>
    </row>
    <row r="1229" spans="6:7" ht="12.75">
      <c r="F1229" s="463"/>
      <c r="G1229" s="463"/>
    </row>
    <row r="1230" spans="6:7" ht="12.75">
      <c r="F1230" s="463"/>
      <c r="G1230" s="463"/>
    </row>
    <row r="1231" spans="6:7" ht="12.75">
      <c r="F1231" s="463"/>
      <c r="G1231" s="463"/>
    </row>
    <row r="1232" spans="6:7" ht="12.75">
      <c r="F1232" s="463"/>
      <c r="G1232" s="463"/>
    </row>
    <row r="1233" spans="6:7" ht="12.75">
      <c r="F1233" s="463"/>
      <c r="G1233" s="463"/>
    </row>
    <row r="1234" spans="6:7" ht="12.75">
      <c r="F1234" s="463"/>
      <c r="G1234" s="463"/>
    </row>
    <row r="1235" spans="6:7" ht="12.75">
      <c r="F1235" s="463"/>
      <c r="G1235" s="463"/>
    </row>
    <row r="1236" spans="6:7" ht="12.75">
      <c r="F1236" s="463"/>
      <c r="G1236" s="463"/>
    </row>
    <row r="1237" spans="6:7" ht="12.75">
      <c r="F1237" s="463"/>
      <c r="G1237" s="463"/>
    </row>
    <row r="1238" spans="6:7" ht="12.75">
      <c r="F1238" s="463"/>
      <c r="G1238" s="463"/>
    </row>
    <row r="1239" spans="6:7" ht="12.75">
      <c r="F1239" s="463"/>
      <c r="G1239" s="463"/>
    </row>
    <row r="1240" spans="6:7" ht="12.75">
      <c r="F1240" s="463"/>
      <c r="G1240" s="463"/>
    </row>
    <row r="1241" spans="6:7" ht="12.75">
      <c r="F1241" s="463"/>
      <c r="G1241" s="463"/>
    </row>
    <row r="1242" spans="6:7" ht="12.75">
      <c r="F1242" s="463"/>
      <c r="G1242" s="463"/>
    </row>
    <row r="1243" spans="6:7" ht="12.75">
      <c r="F1243" s="463"/>
      <c r="G1243" s="463"/>
    </row>
    <row r="1244" spans="6:7" ht="12.75">
      <c r="F1244" s="463"/>
      <c r="G1244" s="463"/>
    </row>
    <row r="1245" spans="6:7" ht="12.75">
      <c r="F1245" s="463"/>
      <c r="G1245" s="463"/>
    </row>
    <row r="1246" spans="6:7" ht="12.75">
      <c r="F1246" s="463"/>
      <c r="G1246" s="463"/>
    </row>
    <row r="1247" spans="6:7" ht="12.75">
      <c r="F1247" s="463"/>
      <c r="G1247" s="463"/>
    </row>
    <row r="1248" spans="6:7" ht="12.75">
      <c r="F1248" s="463"/>
      <c r="G1248" s="463"/>
    </row>
    <row r="1249" spans="6:7" ht="12.75">
      <c r="F1249" s="463"/>
      <c r="G1249" s="463"/>
    </row>
    <row r="1250" spans="6:7" ht="12.75">
      <c r="F1250" s="463"/>
      <c r="G1250" s="463"/>
    </row>
    <row r="1251" spans="6:7" ht="12.75">
      <c r="F1251" s="463"/>
      <c r="G1251" s="463"/>
    </row>
    <row r="1252" spans="6:7" ht="12.75">
      <c r="F1252" s="463"/>
      <c r="G1252" s="463"/>
    </row>
    <row r="1253" spans="6:7" ht="12.75">
      <c r="F1253" s="463"/>
      <c r="G1253" s="463"/>
    </row>
    <row r="1254" spans="6:7" ht="12.75">
      <c r="F1254" s="463"/>
      <c r="G1254" s="463"/>
    </row>
    <row r="1255" spans="6:7" ht="12.75">
      <c r="F1255" s="463"/>
      <c r="G1255" s="463"/>
    </row>
    <row r="1256" spans="6:7" ht="12.75">
      <c r="F1256" s="463"/>
      <c r="G1256" s="463"/>
    </row>
    <row r="1257" spans="6:7" ht="12.75">
      <c r="F1257" s="463"/>
      <c r="G1257" s="463"/>
    </row>
    <row r="1258" spans="6:7" ht="12.75">
      <c r="F1258" s="463"/>
      <c r="G1258" s="463"/>
    </row>
    <row r="1259" spans="6:7" ht="12.75">
      <c r="F1259" s="463"/>
      <c r="G1259" s="463"/>
    </row>
    <row r="1260" spans="6:7" ht="12.75">
      <c r="F1260" s="463"/>
      <c r="G1260" s="463"/>
    </row>
    <row r="1261" spans="6:7" ht="12.75">
      <c r="F1261" s="463"/>
      <c r="G1261" s="463"/>
    </row>
    <row r="1262" spans="6:7" ht="12.75">
      <c r="F1262" s="463"/>
      <c r="G1262" s="463"/>
    </row>
    <row r="1263" spans="6:7" ht="12.75">
      <c r="F1263" s="463"/>
      <c r="G1263" s="463"/>
    </row>
    <row r="1264" spans="6:7" ht="12.75">
      <c r="F1264" s="463"/>
      <c r="G1264" s="463"/>
    </row>
    <row r="1265" spans="6:7" ht="12.75">
      <c r="F1265" s="463"/>
      <c r="G1265" s="463"/>
    </row>
    <row r="1266" spans="6:7" ht="12.75">
      <c r="F1266" s="463"/>
      <c r="G1266" s="463"/>
    </row>
    <row r="1267" spans="6:7" ht="12.75">
      <c r="F1267" s="463"/>
      <c r="G1267" s="463"/>
    </row>
    <row r="1268" spans="6:7" ht="12.75">
      <c r="F1268" s="463"/>
      <c r="G1268" s="463"/>
    </row>
    <row r="1269" spans="6:7" ht="12.75">
      <c r="F1269" s="463"/>
      <c r="G1269" s="463"/>
    </row>
    <row r="1270" spans="6:7" ht="12.75">
      <c r="F1270" s="463"/>
      <c r="G1270" s="463"/>
    </row>
    <row r="1271" spans="6:7" ht="12.75">
      <c r="F1271" s="463"/>
      <c r="G1271" s="463"/>
    </row>
    <row r="1272" spans="6:7" ht="12.75">
      <c r="F1272" s="463"/>
      <c r="G1272" s="463"/>
    </row>
    <row r="1273" spans="6:7" ht="12.75">
      <c r="F1273" s="463"/>
      <c r="G1273" s="463"/>
    </row>
    <row r="1274" spans="6:7" ht="12.75">
      <c r="F1274" s="463"/>
      <c r="G1274" s="463"/>
    </row>
    <row r="1275" spans="6:7" ht="12.75">
      <c r="F1275" s="463"/>
      <c r="G1275" s="463"/>
    </row>
    <row r="1276" spans="6:7" ht="12.75">
      <c r="F1276" s="463"/>
      <c r="G1276" s="463"/>
    </row>
    <row r="1277" spans="6:7" ht="12.75">
      <c r="F1277" s="463"/>
      <c r="G1277" s="463"/>
    </row>
    <row r="1278" spans="6:7" ht="12.75">
      <c r="F1278" s="463"/>
      <c r="G1278" s="463"/>
    </row>
    <row r="1279" spans="6:7" ht="12.75">
      <c r="F1279" s="463"/>
      <c r="G1279" s="463"/>
    </row>
    <row r="1280" spans="6:7" ht="12.75">
      <c r="F1280" s="463"/>
      <c r="G1280" s="463"/>
    </row>
    <row r="1281" spans="6:7" ht="12.75">
      <c r="F1281" s="463"/>
      <c r="G1281" s="463"/>
    </row>
    <row r="1282" spans="6:7" ht="12.75">
      <c r="F1282" s="463"/>
      <c r="G1282" s="463"/>
    </row>
    <row r="1283" spans="6:7" ht="12.75">
      <c r="F1283" s="463"/>
      <c r="G1283" s="463"/>
    </row>
    <row r="1284" spans="6:7" ht="12.75">
      <c r="F1284" s="463"/>
      <c r="G1284" s="463"/>
    </row>
    <row r="1285" spans="6:7" ht="12.75">
      <c r="F1285" s="463"/>
      <c r="G1285" s="463"/>
    </row>
    <row r="1286" spans="6:7" ht="12.75">
      <c r="F1286" s="463"/>
      <c r="G1286" s="463"/>
    </row>
    <row r="1287" spans="6:7" ht="12.75">
      <c r="F1287" s="463"/>
      <c r="G1287" s="463"/>
    </row>
    <row r="1288" spans="6:7" ht="12.75">
      <c r="F1288" s="463"/>
      <c r="G1288" s="463"/>
    </row>
    <row r="1289" spans="6:7" ht="12.75">
      <c r="F1289" s="463"/>
      <c r="G1289" s="463"/>
    </row>
    <row r="1290" spans="6:7" ht="12.75">
      <c r="F1290" s="463"/>
      <c r="G1290" s="463"/>
    </row>
    <row r="1291" spans="6:7" ht="12.75">
      <c r="F1291" s="463"/>
      <c r="G1291" s="463"/>
    </row>
    <row r="1292" spans="6:7" ht="12.75">
      <c r="F1292" s="463"/>
      <c r="G1292" s="463"/>
    </row>
    <row r="1293" spans="6:7" ht="12.75">
      <c r="F1293" s="463"/>
      <c r="G1293" s="463"/>
    </row>
    <row r="1294" spans="6:7" ht="12.75">
      <c r="F1294" s="463"/>
      <c r="G1294" s="463"/>
    </row>
    <row r="1295" spans="6:7" ht="12.75">
      <c r="F1295" s="463"/>
      <c r="G1295" s="463"/>
    </row>
    <row r="1296" spans="6:7" ht="12.75">
      <c r="F1296" s="463"/>
      <c r="G1296" s="463"/>
    </row>
    <row r="1297" spans="6:7" ht="12.75">
      <c r="F1297" s="463"/>
      <c r="G1297" s="463"/>
    </row>
    <row r="1298" spans="6:7" ht="12.75">
      <c r="F1298" s="463"/>
      <c r="G1298" s="463"/>
    </row>
    <row r="1299" spans="6:7" ht="12.75">
      <c r="F1299" s="463"/>
      <c r="G1299" s="463"/>
    </row>
    <row r="1300" spans="6:7" ht="12.75">
      <c r="F1300" s="463"/>
      <c r="G1300" s="463"/>
    </row>
    <row r="1301" spans="6:7" ht="12.75">
      <c r="F1301" s="463"/>
      <c r="G1301" s="463"/>
    </row>
    <row r="1302" spans="6:7" ht="12.75">
      <c r="F1302" s="463"/>
      <c r="G1302" s="463"/>
    </row>
    <row r="1303" spans="6:7" ht="12.75">
      <c r="F1303" s="463"/>
      <c r="G1303" s="463"/>
    </row>
    <row r="1304" spans="6:7" ht="12.75">
      <c r="F1304" s="463"/>
      <c r="G1304" s="463"/>
    </row>
    <row r="1305" spans="6:7" ht="12.75">
      <c r="F1305" s="463"/>
      <c r="G1305" s="463"/>
    </row>
    <row r="1306" spans="6:7" ht="12.75">
      <c r="F1306" s="463"/>
      <c r="G1306" s="463"/>
    </row>
    <row r="1307" spans="6:7" ht="12.75">
      <c r="F1307" s="463"/>
      <c r="G1307" s="463"/>
    </row>
    <row r="1308" spans="6:7" ht="12.75">
      <c r="F1308" s="463"/>
      <c r="G1308" s="463"/>
    </row>
    <row r="1309" spans="6:7" ht="12.75">
      <c r="F1309" s="463"/>
      <c r="G1309" s="463"/>
    </row>
    <row r="1310" spans="6:7" ht="12.75">
      <c r="F1310" s="463"/>
      <c r="G1310" s="463"/>
    </row>
    <row r="1311" spans="6:7" ht="12.75">
      <c r="F1311" s="463"/>
      <c r="G1311" s="463"/>
    </row>
    <row r="1312" spans="6:7" ht="12.75">
      <c r="F1312" s="463"/>
      <c r="G1312" s="463"/>
    </row>
    <row r="1313" spans="6:7" ht="12.75">
      <c r="F1313" s="463"/>
      <c r="G1313" s="463"/>
    </row>
    <row r="1314" spans="6:7" ht="12.75">
      <c r="F1314" s="463"/>
      <c r="G1314" s="463"/>
    </row>
    <row r="1315" spans="6:7" ht="12.75">
      <c r="F1315" s="463"/>
      <c r="G1315" s="463"/>
    </row>
    <row r="1316" spans="6:7" ht="12.75">
      <c r="F1316" s="463"/>
      <c r="G1316" s="463"/>
    </row>
    <row r="1317" spans="6:7" ht="12.75">
      <c r="F1317" s="463"/>
      <c r="G1317" s="463"/>
    </row>
    <row r="1318" spans="6:7" ht="12.75">
      <c r="F1318" s="463"/>
      <c r="G1318" s="463"/>
    </row>
    <row r="1319" spans="6:7" ht="12.75">
      <c r="F1319" s="463"/>
      <c r="G1319" s="463"/>
    </row>
    <row r="1320" spans="6:7" ht="12.75">
      <c r="F1320" s="463"/>
      <c r="G1320" s="463"/>
    </row>
    <row r="1321" spans="6:7" ht="12.75">
      <c r="F1321" s="463"/>
      <c r="G1321" s="463"/>
    </row>
    <row r="1322" spans="6:7" ht="12.75">
      <c r="F1322" s="463"/>
      <c r="G1322" s="463"/>
    </row>
    <row r="1323" spans="6:7" ht="12.75">
      <c r="F1323" s="463"/>
      <c r="G1323" s="463"/>
    </row>
    <row r="1324" spans="6:7" ht="12.75">
      <c r="F1324" s="463"/>
      <c r="G1324" s="463"/>
    </row>
    <row r="1325" spans="6:7" ht="12.75">
      <c r="F1325" s="463"/>
      <c r="G1325" s="463"/>
    </row>
    <row r="1326" spans="6:7" ht="12.75">
      <c r="F1326" s="463"/>
      <c r="G1326" s="463"/>
    </row>
    <row r="1327" spans="6:7" ht="12.75">
      <c r="F1327" s="463"/>
      <c r="G1327" s="463"/>
    </row>
    <row r="1328" spans="6:7" ht="12.75">
      <c r="F1328" s="463"/>
      <c r="G1328" s="463"/>
    </row>
    <row r="1329" spans="6:7" ht="12.75">
      <c r="F1329" s="463"/>
      <c r="G1329" s="463"/>
    </row>
    <row r="1330" spans="6:7" ht="12.75">
      <c r="F1330" s="463"/>
      <c r="G1330" s="463"/>
    </row>
    <row r="1331" spans="6:7" ht="12.75">
      <c r="F1331" s="463"/>
      <c r="G1331" s="463"/>
    </row>
    <row r="1332" spans="6:7" ht="12.75">
      <c r="F1332" s="463"/>
      <c r="G1332" s="463"/>
    </row>
    <row r="1333" spans="6:7" ht="12.75">
      <c r="F1333" s="463"/>
      <c r="G1333" s="463"/>
    </row>
    <row r="1334" spans="6:7" ht="12.75">
      <c r="F1334" s="463"/>
      <c r="G1334" s="463"/>
    </row>
    <row r="1335" spans="6:7" ht="12.75">
      <c r="F1335" s="463"/>
      <c r="G1335" s="463"/>
    </row>
    <row r="1336" spans="6:7" ht="12.75">
      <c r="F1336" s="463"/>
      <c r="G1336" s="463"/>
    </row>
    <row r="1337" spans="6:7" ht="12.75">
      <c r="F1337" s="463"/>
      <c r="G1337" s="463"/>
    </row>
    <row r="1338" spans="6:7" ht="12.75">
      <c r="F1338" s="463"/>
      <c r="G1338" s="463"/>
    </row>
    <row r="1339" spans="6:7" ht="12.75">
      <c r="F1339" s="463"/>
      <c r="G1339" s="463"/>
    </row>
    <row r="1340" spans="6:7" ht="12.75">
      <c r="F1340" s="463"/>
      <c r="G1340" s="463"/>
    </row>
    <row r="1341" spans="6:7" ht="12.75">
      <c r="F1341" s="463"/>
      <c r="G1341" s="463"/>
    </row>
    <row r="1342" spans="6:7" ht="12.75">
      <c r="F1342" s="463"/>
      <c r="G1342" s="463"/>
    </row>
    <row r="1343" spans="6:7" ht="12.75">
      <c r="F1343" s="463"/>
      <c r="G1343" s="463"/>
    </row>
    <row r="1344" spans="6:7" ht="12.75">
      <c r="F1344" s="463"/>
      <c r="G1344" s="463"/>
    </row>
    <row r="1345" spans="6:7" ht="12.75">
      <c r="F1345" s="463"/>
      <c r="G1345" s="463"/>
    </row>
    <row r="1346" spans="6:7" ht="12.75">
      <c r="F1346" s="463"/>
      <c r="G1346" s="463"/>
    </row>
    <row r="1347" spans="6:7" ht="12.75">
      <c r="F1347" s="463"/>
      <c r="G1347" s="463"/>
    </row>
    <row r="1348" spans="6:7" ht="12.75">
      <c r="F1348" s="463"/>
      <c r="G1348" s="463"/>
    </row>
    <row r="1349" spans="6:7" ht="12.75">
      <c r="F1349" s="463"/>
      <c r="G1349" s="463"/>
    </row>
    <row r="1350" spans="6:7" ht="12.75">
      <c r="F1350" s="463"/>
      <c r="G1350" s="463"/>
    </row>
    <row r="1351" spans="6:7" ht="12.75">
      <c r="F1351" s="463"/>
      <c r="G1351" s="463"/>
    </row>
    <row r="1352" spans="6:7" ht="12.75">
      <c r="F1352" s="463"/>
      <c r="G1352" s="463"/>
    </row>
    <row r="1353" spans="6:7" ht="12.75">
      <c r="F1353" s="463"/>
      <c r="G1353" s="463"/>
    </row>
    <row r="1354" spans="6:7" ht="12.75">
      <c r="F1354" s="463"/>
      <c r="G1354" s="463"/>
    </row>
    <row r="1355" spans="6:7" ht="12.75">
      <c r="F1355" s="463"/>
      <c r="G1355" s="463"/>
    </row>
    <row r="1356" spans="6:7" ht="12.75">
      <c r="F1356" s="463"/>
      <c r="G1356" s="463"/>
    </row>
    <row r="1357" spans="6:7" ht="12.75">
      <c r="F1357" s="463"/>
      <c r="G1357" s="463"/>
    </row>
    <row r="1358" spans="6:7" ht="12.75">
      <c r="F1358" s="463"/>
      <c r="G1358" s="463"/>
    </row>
    <row r="1359" spans="6:7" ht="12.75">
      <c r="F1359" s="463"/>
      <c r="G1359" s="463"/>
    </row>
    <row r="1360" spans="6:7" ht="12.75">
      <c r="F1360" s="463"/>
      <c r="G1360" s="463"/>
    </row>
    <row r="1361" spans="6:7" ht="12.75">
      <c r="F1361" s="463"/>
      <c r="G1361" s="463"/>
    </row>
    <row r="1362" spans="6:7" ht="12.75">
      <c r="F1362" s="463"/>
      <c r="G1362" s="463"/>
    </row>
    <row r="1363" spans="6:7" ht="12.75">
      <c r="F1363" s="463"/>
      <c r="G1363" s="463"/>
    </row>
    <row r="1364" spans="6:7" ht="12.75">
      <c r="F1364" s="463"/>
      <c r="G1364" s="463"/>
    </row>
    <row r="1365" spans="6:7" ht="12.75">
      <c r="F1365" s="463"/>
      <c r="G1365" s="463"/>
    </row>
    <row r="1366" spans="6:7" ht="12.75">
      <c r="F1366" s="463"/>
      <c r="G1366" s="463"/>
    </row>
    <row r="1367" spans="6:7" ht="12.75">
      <c r="F1367" s="463"/>
      <c r="G1367" s="463"/>
    </row>
    <row r="1368" spans="6:7" ht="12.75">
      <c r="F1368" s="463"/>
      <c r="G1368" s="463"/>
    </row>
    <row r="1369" spans="6:7" ht="12.75">
      <c r="F1369" s="463"/>
      <c r="G1369" s="463"/>
    </row>
    <row r="1370" spans="6:7" ht="12.75">
      <c r="F1370" s="463"/>
      <c r="G1370" s="463"/>
    </row>
    <row r="1371" spans="6:7" ht="12.75">
      <c r="F1371" s="463"/>
      <c r="G1371" s="463"/>
    </row>
    <row r="1372" spans="6:7" ht="12.75">
      <c r="F1372" s="463"/>
      <c r="G1372" s="463"/>
    </row>
    <row r="1373" spans="6:7" ht="12.75">
      <c r="F1373" s="463"/>
      <c r="G1373" s="463"/>
    </row>
    <row r="1374" spans="6:7" ht="12.75">
      <c r="F1374" s="463"/>
      <c r="G1374" s="463"/>
    </row>
    <row r="1375" spans="6:7" ht="12.75">
      <c r="F1375" s="463"/>
      <c r="G1375" s="463"/>
    </row>
    <row r="1376" spans="6:7" ht="12.75">
      <c r="F1376" s="463"/>
      <c r="G1376" s="463"/>
    </row>
    <row r="1377" spans="6:7" ht="12.75">
      <c r="F1377" s="463"/>
      <c r="G1377" s="463"/>
    </row>
    <row r="1378" spans="6:7" ht="12.75">
      <c r="F1378" s="463"/>
      <c r="G1378" s="463"/>
    </row>
    <row r="1379" spans="6:7" ht="12.75">
      <c r="F1379" s="463"/>
      <c r="G1379" s="463"/>
    </row>
    <row r="1380" spans="6:7" ht="12.75">
      <c r="F1380" s="463"/>
      <c r="G1380" s="463"/>
    </row>
    <row r="1381" spans="6:7" ht="12.75">
      <c r="F1381" s="463"/>
      <c r="G1381" s="463"/>
    </row>
    <row r="1382" spans="6:7" ht="12.75">
      <c r="F1382" s="463"/>
      <c r="G1382" s="463"/>
    </row>
    <row r="1383" spans="6:7" ht="12.75">
      <c r="F1383" s="463"/>
      <c r="G1383" s="463"/>
    </row>
    <row r="1384" spans="6:7" ht="12.75">
      <c r="F1384" s="463"/>
      <c r="G1384" s="463"/>
    </row>
    <row r="1385" spans="6:7" ht="12.75">
      <c r="F1385" s="463"/>
      <c r="G1385" s="463"/>
    </row>
    <row r="1386" spans="6:7" ht="12.75">
      <c r="F1386" s="463"/>
      <c r="G1386" s="463"/>
    </row>
    <row r="1387" spans="6:7" ht="12.75">
      <c r="F1387" s="463"/>
      <c r="G1387" s="463"/>
    </row>
    <row r="1388" spans="6:7" ht="12.75">
      <c r="F1388" s="463"/>
      <c r="G1388" s="463"/>
    </row>
    <row r="1389" spans="6:7" ht="12.75">
      <c r="F1389" s="463"/>
      <c r="G1389" s="463"/>
    </row>
    <row r="1390" spans="6:7" ht="12.75">
      <c r="F1390" s="463"/>
      <c r="G1390" s="463"/>
    </row>
    <row r="1391" spans="6:7" ht="12.75">
      <c r="F1391" s="463"/>
      <c r="G1391" s="463"/>
    </row>
    <row r="1392" spans="6:7" ht="12.75">
      <c r="F1392" s="463"/>
      <c r="G1392" s="463"/>
    </row>
    <row r="1393" spans="6:7" ht="12.75">
      <c r="F1393" s="463"/>
      <c r="G1393" s="463"/>
    </row>
    <row r="1394" spans="6:7" ht="12.75">
      <c r="F1394" s="463"/>
      <c r="G1394" s="463"/>
    </row>
    <row r="1395" spans="6:7" ht="12.75">
      <c r="F1395" s="463"/>
      <c r="G1395" s="463"/>
    </row>
    <row r="1396" spans="6:7" ht="12.75">
      <c r="F1396" s="463"/>
      <c r="G1396" s="463"/>
    </row>
    <row r="1397" spans="6:7" ht="12.75">
      <c r="F1397" s="463"/>
      <c r="G1397" s="463"/>
    </row>
    <row r="1398" spans="6:7" ht="12.75">
      <c r="F1398" s="463"/>
      <c r="G1398" s="463"/>
    </row>
    <row r="1399" spans="6:7" ht="12.75">
      <c r="F1399" s="463"/>
      <c r="G1399" s="463"/>
    </row>
    <row r="1400" spans="6:7" ht="12.75">
      <c r="F1400" s="463"/>
      <c r="G1400" s="463"/>
    </row>
    <row r="1401" spans="6:7" ht="12.75">
      <c r="F1401" s="463"/>
      <c r="G1401" s="463"/>
    </row>
    <row r="1402" spans="6:7" ht="12.75">
      <c r="F1402" s="463"/>
      <c r="G1402" s="463"/>
    </row>
    <row r="1403" spans="6:7" ht="12.75">
      <c r="F1403" s="463"/>
      <c r="G1403" s="463"/>
    </row>
    <row r="1404" spans="6:7" ht="12.75">
      <c r="F1404" s="463"/>
      <c r="G1404" s="463"/>
    </row>
    <row r="1405" spans="6:7" ht="12.75">
      <c r="F1405" s="463"/>
      <c r="G1405" s="463"/>
    </row>
    <row r="1406" spans="6:7" ht="12.75">
      <c r="F1406" s="463"/>
      <c r="G1406" s="463"/>
    </row>
    <row r="1407" spans="6:7" ht="12.75">
      <c r="F1407" s="463"/>
      <c r="G1407" s="463"/>
    </row>
    <row r="1408" spans="6:7" ht="12.75">
      <c r="F1408" s="463"/>
      <c r="G1408" s="463"/>
    </row>
    <row r="1409" spans="6:7" ht="12.75">
      <c r="F1409" s="463"/>
      <c r="G1409" s="463"/>
    </row>
    <row r="1410" spans="6:7" ht="12.75">
      <c r="F1410" s="463"/>
      <c r="G1410" s="463"/>
    </row>
    <row r="1411" spans="6:7" ht="12.75">
      <c r="F1411" s="463"/>
      <c r="G1411" s="463"/>
    </row>
    <row r="1412" spans="6:7" ht="12.75">
      <c r="F1412" s="463"/>
      <c r="G1412" s="463"/>
    </row>
    <row r="1413" spans="6:7" ht="12.75">
      <c r="F1413" s="463"/>
      <c r="G1413" s="463"/>
    </row>
    <row r="1414" spans="6:7" ht="12.75">
      <c r="F1414" s="463"/>
      <c r="G1414" s="463"/>
    </row>
    <row r="1415" spans="6:7" ht="12.75">
      <c r="F1415" s="463"/>
      <c r="G1415" s="463"/>
    </row>
    <row r="1416" spans="6:7" ht="12.75">
      <c r="F1416" s="463"/>
      <c r="G1416" s="463"/>
    </row>
    <row r="1417" spans="6:7" ht="12.75">
      <c r="F1417" s="463"/>
      <c r="G1417" s="463"/>
    </row>
    <row r="1418" spans="6:7" ht="12.75">
      <c r="F1418" s="463"/>
      <c r="G1418" s="463"/>
    </row>
    <row r="1419" spans="6:7" ht="12.75">
      <c r="F1419" s="463"/>
      <c r="G1419" s="463"/>
    </row>
    <row r="1420" spans="6:7" ht="12.75">
      <c r="F1420" s="463"/>
      <c r="G1420" s="463"/>
    </row>
    <row r="1421" spans="6:7" ht="12.75">
      <c r="F1421" s="463"/>
      <c r="G1421" s="463"/>
    </row>
    <row r="1422" spans="6:7" ht="12.75">
      <c r="F1422" s="463"/>
      <c r="G1422" s="463"/>
    </row>
    <row r="1423" spans="6:7" ht="12.75">
      <c r="F1423" s="463"/>
      <c r="G1423" s="463"/>
    </row>
    <row r="1424" spans="6:7" ht="12.75">
      <c r="F1424" s="463"/>
      <c r="G1424" s="463"/>
    </row>
    <row r="1425" spans="6:7" ht="12.75">
      <c r="F1425" s="463"/>
      <c r="G1425" s="463"/>
    </row>
    <row r="1426" spans="6:7" ht="12.75">
      <c r="F1426" s="463"/>
      <c r="G1426" s="463"/>
    </row>
    <row r="1427" spans="6:7" ht="12.75">
      <c r="F1427" s="463"/>
      <c r="G1427" s="463"/>
    </row>
    <row r="1428" spans="6:7" ht="12.75">
      <c r="F1428" s="463"/>
      <c r="G1428" s="463"/>
    </row>
    <row r="1429" spans="6:7" ht="12.75">
      <c r="F1429" s="463"/>
      <c r="G1429" s="463"/>
    </row>
    <row r="1430" spans="6:7" ht="12.75">
      <c r="F1430" s="463"/>
      <c r="G1430" s="463"/>
    </row>
    <row r="1431" spans="6:7" ht="12.75">
      <c r="F1431" s="463"/>
      <c r="G1431" s="463"/>
    </row>
    <row r="1432" spans="6:7" ht="12.75">
      <c r="F1432" s="463"/>
      <c r="G1432" s="463"/>
    </row>
    <row r="1433" spans="6:7" ht="12.75">
      <c r="F1433" s="463"/>
      <c r="G1433" s="463"/>
    </row>
    <row r="1434" spans="6:7" ht="12.75">
      <c r="F1434" s="463"/>
      <c r="G1434" s="463"/>
    </row>
    <row r="1435" spans="6:7" ht="12.75">
      <c r="F1435" s="463"/>
      <c r="G1435" s="463"/>
    </row>
    <row r="1436" spans="6:7" ht="12.75">
      <c r="F1436" s="463"/>
      <c r="G1436" s="463"/>
    </row>
    <row r="1437" spans="6:7" ht="12.75">
      <c r="F1437" s="463"/>
      <c r="G1437" s="463"/>
    </row>
    <row r="1438" spans="6:7" ht="12.75">
      <c r="F1438" s="463"/>
      <c r="G1438" s="463"/>
    </row>
    <row r="1439" spans="6:7" ht="12.75">
      <c r="F1439" s="463"/>
      <c r="G1439" s="463"/>
    </row>
    <row r="1440" spans="6:7" ht="12.75">
      <c r="F1440" s="463"/>
      <c r="G1440" s="463"/>
    </row>
    <row r="1441" spans="6:7" ht="12.75">
      <c r="F1441" s="463"/>
      <c r="G1441" s="463"/>
    </row>
    <row r="1442" spans="6:7" ht="12.75">
      <c r="F1442" s="463"/>
      <c r="G1442" s="463"/>
    </row>
    <row r="1443" spans="6:7" ht="12.75">
      <c r="F1443" s="463"/>
      <c r="G1443" s="463"/>
    </row>
    <row r="1444" spans="6:7" ht="12.75">
      <c r="F1444" s="463"/>
      <c r="G1444" s="463"/>
    </row>
    <row r="1445" spans="6:7" ht="12.75">
      <c r="F1445" s="463"/>
      <c r="G1445" s="463"/>
    </row>
    <row r="1446" spans="6:7" ht="12.75">
      <c r="F1446" s="463"/>
      <c r="G1446" s="463"/>
    </row>
    <row r="1447" spans="6:7" ht="12.75">
      <c r="F1447" s="463"/>
      <c r="G1447" s="463"/>
    </row>
    <row r="1448" spans="6:7" ht="12.75">
      <c r="F1448" s="463"/>
      <c r="G1448" s="463"/>
    </row>
    <row r="1449" spans="6:7" ht="12.75">
      <c r="F1449" s="463"/>
      <c r="G1449" s="463"/>
    </row>
    <row r="1450" spans="6:7" ht="12.75">
      <c r="F1450" s="463"/>
      <c r="G1450" s="463"/>
    </row>
    <row r="1451" spans="6:7" ht="12.75">
      <c r="F1451" s="463"/>
      <c r="G1451" s="463"/>
    </row>
    <row r="1452" spans="6:7" ht="12.75">
      <c r="F1452" s="463"/>
      <c r="G1452" s="463"/>
    </row>
    <row r="1453" spans="6:7" ht="12.75">
      <c r="F1453" s="463"/>
      <c r="G1453" s="463"/>
    </row>
    <row r="1454" spans="6:7" ht="12.75">
      <c r="F1454" s="463"/>
      <c r="G1454" s="463"/>
    </row>
    <row r="1455" spans="6:7" ht="12.75">
      <c r="F1455" s="463"/>
      <c r="G1455" s="463"/>
    </row>
    <row r="1456" spans="6:7" ht="12.75">
      <c r="F1456" s="463"/>
      <c r="G1456" s="463"/>
    </row>
    <row r="1457" spans="6:7" ht="12.75">
      <c r="F1457" s="463"/>
      <c r="G1457" s="463"/>
    </row>
    <row r="1458" spans="6:7" ht="12.75">
      <c r="F1458" s="463"/>
      <c r="G1458" s="463"/>
    </row>
    <row r="1459" spans="6:7" ht="12.75">
      <c r="F1459" s="463"/>
      <c r="G1459" s="463"/>
    </row>
    <row r="1460" spans="6:7" ht="12.75">
      <c r="F1460" s="463"/>
      <c r="G1460" s="463"/>
    </row>
    <row r="1461" spans="6:7" ht="12.75">
      <c r="F1461" s="463"/>
      <c r="G1461" s="463"/>
    </row>
    <row r="1462" spans="6:7" ht="12.75">
      <c r="F1462" s="463"/>
      <c r="G1462" s="463"/>
    </row>
    <row r="1463" spans="6:7" ht="12.75">
      <c r="F1463" s="463"/>
      <c r="G1463" s="463"/>
    </row>
    <row r="1464" spans="6:7" ht="12.75">
      <c r="F1464" s="463"/>
      <c r="G1464" s="463"/>
    </row>
    <row r="1465" spans="6:7" ht="12.75">
      <c r="F1465" s="463"/>
      <c r="G1465" s="463"/>
    </row>
    <row r="1466" spans="6:7" ht="12.75">
      <c r="F1466" s="463"/>
      <c r="G1466" s="463"/>
    </row>
    <row r="1467" spans="6:7" ht="12.75">
      <c r="F1467" s="463"/>
      <c r="G1467" s="463"/>
    </row>
    <row r="1468" spans="6:7" ht="12.75">
      <c r="F1468" s="463"/>
      <c r="G1468" s="463"/>
    </row>
    <row r="1469" spans="6:7" ht="12.75">
      <c r="F1469" s="463"/>
      <c r="G1469" s="463"/>
    </row>
    <row r="1470" spans="6:7" ht="12.75">
      <c r="F1470" s="463"/>
      <c r="G1470" s="463"/>
    </row>
    <row r="1471" spans="6:7" ht="12.75">
      <c r="F1471" s="463"/>
      <c r="G1471" s="463"/>
    </row>
    <row r="1472" spans="6:7" ht="12.75">
      <c r="F1472" s="463"/>
      <c r="G1472" s="463"/>
    </row>
    <row r="1473" spans="6:7" ht="12.75">
      <c r="F1473" s="463"/>
      <c r="G1473" s="463"/>
    </row>
    <row r="1474" spans="6:7" ht="12.75">
      <c r="F1474" s="463"/>
      <c r="G1474" s="463"/>
    </row>
    <row r="1475" spans="6:7" ht="12.75">
      <c r="F1475" s="463"/>
      <c r="G1475" s="463"/>
    </row>
    <row r="1476" spans="6:7" ht="12.75">
      <c r="F1476" s="463"/>
      <c r="G1476" s="463"/>
    </row>
    <row r="1477" spans="6:7" ht="12.75">
      <c r="F1477" s="463"/>
      <c r="G1477" s="463"/>
    </row>
    <row r="1478" spans="6:7" ht="12.75">
      <c r="F1478" s="463"/>
      <c r="G1478" s="463"/>
    </row>
    <row r="1479" spans="6:7" ht="12.75">
      <c r="F1479" s="463"/>
      <c r="G1479" s="463"/>
    </row>
    <row r="1480" spans="6:7" ht="12.75">
      <c r="F1480" s="463"/>
      <c r="G1480" s="463"/>
    </row>
    <row r="1481" spans="6:7" ht="12.75">
      <c r="F1481" s="463"/>
      <c r="G1481" s="463"/>
    </row>
    <row r="1482" spans="6:7" ht="12.75">
      <c r="F1482" s="463"/>
      <c r="G1482" s="463"/>
    </row>
    <row r="1483" spans="6:7" ht="12.75">
      <c r="F1483" s="463"/>
      <c r="G1483" s="463"/>
    </row>
    <row r="1484" spans="6:7" ht="12.75">
      <c r="F1484" s="463"/>
      <c r="G1484" s="463"/>
    </row>
    <row r="1485" spans="6:7" ht="12.75">
      <c r="F1485" s="463"/>
      <c r="G1485" s="463"/>
    </row>
    <row r="1486" spans="6:7" ht="12.75">
      <c r="F1486" s="463"/>
      <c r="G1486" s="463"/>
    </row>
    <row r="1487" spans="6:7" ht="12.75">
      <c r="F1487" s="463"/>
      <c r="G1487" s="463"/>
    </row>
    <row r="1488" spans="6:7" ht="12.75">
      <c r="F1488" s="463"/>
      <c r="G1488" s="463"/>
    </row>
    <row r="1489" spans="6:7" ht="12.75">
      <c r="F1489" s="463"/>
      <c r="G1489" s="463"/>
    </row>
    <row r="1490" spans="6:7" ht="12.75">
      <c r="F1490" s="463"/>
      <c r="G1490" s="463"/>
    </row>
    <row r="1491" spans="6:7" ht="12.75">
      <c r="F1491" s="463"/>
      <c r="G1491" s="463"/>
    </row>
    <row r="1492" spans="6:7" ht="12.75">
      <c r="F1492" s="463"/>
      <c r="G1492" s="463"/>
    </row>
    <row r="1493" spans="6:7" ht="12.75">
      <c r="F1493" s="463"/>
      <c r="G1493" s="463"/>
    </row>
    <row r="1494" spans="6:7" ht="12.75">
      <c r="F1494" s="463"/>
      <c r="G1494" s="463"/>
    </row>
    <row r="1495" spans="6:7" ht="12.75">
      <c r="F1495" s="463"/>
      <c r="G1495" s="463"/>
    </row>
    <row r="1496" spans="6:7" ht="12.75">
      <c r="F1496" s="463"/>
      <c r="G1496" s="463"/>
    </row>
    <row r="1497" spans="6:7" ht="12.75">
      <c r="F1497" s="463"/>
      <c r="G1497" s="463"/>
    </row>
    <row r="1498" spans="6:7" ht="12.75">
      <c r="F1498" s="463"/>
      <c r="G1498" s="463"/>
    </row>
    <row r="1499" spans="6:7" ht="12.75">
      <c r="F1499" s="463"/>
      <c r="G1499" s="463"/>
    </row>
    <row r="1500" spans="6:7" ht="12.75">
      <c r="F1500" s="463"/>
      <c r="G1500" s="463"/>
    </row>
    <row r="1501" spans="6:7" ht="12.75">
      <c r="F1501" s="463"/>
      <c r="G1501" s="463"/>
    </row>
    <row r="1502" spans="6:7" ht="12.75">
      <c r="F1502" s="463"/>
      <c r="G1502" s="463"/>
    </row>
    <row r="1503" spans="6:7" ht="12.75">
      <c r="F1503" s="463"/>
      <c r="G1503" s="463"/>
    </row>
    <row r="1504" spans="6:7" ht="12.75">
      <c r="F1504" s="463"/>
      <c r="G1504" s="463"/>
    </row>
    <row r="1505" spans="6:7" ht="12.75">
      <c r="F1505" s="463"/>
      <c r="G1505" s="463"/>
    </row>
    <row r="1506" spans="6:7" ht="12.75">
      <c r="F1506" s="463"/>
      <c r="G1506" s="463"/>
    </row>
    <row r="1507" spans="6:7" ht="12.75">
      <c r="F1507" s="463"/>
      <c r="G1507" s="463"/>
    </row>
    <row r="1508" spans="6:7" ht="12.75">
      <c r="F1508" s="463"/>
      <c r="G1508" s="463"/>
    </row>
    <row r="1509" spans="6:7" ht="12.75">
      <c r="F1509" s="463"/>
      <c r="G1509" s="463"/>
    </row>
    <row r="1510" spans="6:7" ht="12.75">
      <c r="F1510" s="463"/>
      <c r="G1510" s="463"/>
    </row>
    <row r="1511" spans="6:7" ht="12.75">
      <c r="F1511" s="463"/>
      <c r="G1511" s="463"/>
    </row>
    <row r="1512" spans="6:7" ht="12.75">
      <c r="F1512" s="463"/>
      <c r="G1512" s="463"/>
    </row>
    <row r="1513" spans="6:7" ht="12.75">
      <c r="F1513" s="463"/>
      <c r="G1513" s="463"/>
    </row>
    <row r="1514" spans="6:7" ht="12.75">
      <c r="F1514" s="463"/>
      <c r="G1514" s="463"/>
    </row>
    <row r="1515" spans="6:7" ht="12.75">
      <c r="F1515" s="463"/>
      <c r="G1515" s="463"/>
    </row>
    <row r="1516" spans="6:7" ht="12.75">
      <c r="F1516" s="463"/>
      <c r="G1516" s="463"/>
    </row>
    <row r="1517" spans="6:7" ht="12.75">
      <c r="F1517" s="463"/>
      <c r="G1517" s="463"/>
    </row>
    <row r="1518" spans="6:7" ht="12.75">
      <c r="F1518" s="463"/>
      <c r="G1518" s="463"/>
    </row>
    <row r="1519" spans="6:7" ht="12.75">
      <c r="F1519" s="463"/>
      <c r="G1519" s="463"/>
    </row>
    <row r="1520" spans="6:7" ht="12.75">
      <c r="F1520" s="463"/>
      <c r="G1520" s="463"/>
    </row>
    <row r="1521" spans="6:7" ht="12.75">
      <c r="F1521" s="463"/>
      <c r="G1521" s="463"/>
    </row>
    <row r="1522" spans="6:7" ht="12.75">
      <c r="F1522" s="463"/>
      <c r="G1522" s="463"/>
    </row>
    <row r="1523" spans="6:7" ht="12.75">
      <c r="F1523" s="463"/>
      <c r="G1523" s="463"/>
    </row>
    <row r="1524" spans="6:7" ht="12.75">
      <c r="F1524" s="463"/>
      <c r="G1524" s="463"/>
    </row>
    <row r="1525" spans="6:7" ht="12.75">
      <c r="F1525" s="463"/>
      <c r="G1525" s="463"/>
    </row>
    <row r="1526" spans="6:7" ht="12.75">
      <c r="F1526" s="463"/>
      <c r="G1526" s="463"/>
    </row>
    <row r="1527" spans="6:7" ht="12.75">
      <c r="F1527" s="463"/>
      <c r="G1527" s="463"/>
    </row>
    <row r="1528" spans="6:7" ht="12.75">
      <c r="F1528" s="463"/>
      <c r="G1528" s="463"/>
    </row>
    <row r="1529" spans="6:7" ht="12.75">
      <c r="F1529" s="463"/>
      <c r="G1529" s="463"/>
    </row>
    <row r="1530" spans="6:7" ht="12.75">
      <c r="F1530" s="463"/>
      <c r="G1530" s="463"/>
    </row>
    <row r="1531" spans="6:7" ht="12.75">
      <c r="F1531" s="463"/>
      <c r="G1531" s="463"/>
    </row>
    <row r="1532" spans="6:7" ht="12.75">
      <c r="F1532" s="463"/>
      <c r="G1532" s="463"/>
    </row>
    <row r="1533" spans="6:7" ht="12.75">
      <c r="F1533" s="463"/>
      <c r="G1533" s="463"/>
    </row>
    <row r="1534" spans="6:7" ht="12.75">
      <c r="F1534" s="463"/>
      <c r="G1534" s="463"/>
    </row>
    <row r="1535" spans="6:7" ht="12.75">
      <c r="F1535" s="463"/>
      <c r="G1535" s="463"/>
    </row>
    <row r="1536" spans="6:7" ht="12.75">
      <c r="F1536" s="463"/>
      <c r="G1536" s="463"/>
    </row>
    <row r="1537" spans="6:7" ht="12.75">
      <c r="F1537" s="463"/>
      <c r="G1537" s="463"/>
    </row>
    <row r="1538" spans="6:7" ht="12.75">
      <c r="F1538" s="463"/>
      <c r="G1538" s="463"/>
    </row>
    <row r="1539" spans="6:7" ht="12.75">
      <c r="F1539" s="463"/>
      <c r="G1539" s="463"/>
    </row>
    <row r="1540" spans="6:7" ht="12.75">
      <c r="F1540" s="463"/>
      <c r="G1540" s="463"/>
    </row>
    <row r="1541" spans="6:7" ht="12.75">
      <c r="F1541" s="463"/>
      <c r="G1541" s="463"/>
    </row>
    <row r="1542" spans="6:7" ht="12.75">
      <c r="F1542" s="463"/>
      <c r="G1542" s="463"/>
    </row>
    <row r="1543" spans="6:7" ht="12.75">
      <c r="F1543" s="463"/>
      <c r="G1543" s="463"/>
    </row>
    <row r="1544" spans="6:7" ht="12.75">
      <c r="F1544" s="463"/>
      <c r="G1544" s="463"/>
    </row>
    <row r="1545" spans="6:7" ht="12.75">
      <c r="F1545" s="463"/>
      <c r="G1545" s="463"/>
    </row>
    <row r="1546" spans="6:7" ht="12.75">
      <c r="F1546" s="463"/>
      <c r="G1546" s="463"/>
    </row>
    <row r="1547" spans="6:7" ht="12.75">
      <c r="F1547" s="463"/>
      <c r="G1547" s="463"/>
    </row>
    <row r="1548" spans="6:7" ht="12.75">
      <c r="F1548" s="463"/>
      <c r="G1548" s="463"/>
    </row>
    <row r="1549" spans="6:7" ht="12.75">
      <c r="F1549" s="463"/>
      <c r="G1549" s="463"/>
    </row>
    <row r="1550" spans="6:7" ht="12.75">
      <c r="F1550" s="463"/>
      <c r="G1550" s="463"/>
    </row>
    <row r="1551" spans="6:7" ht="12.75">
      <c r="F1551" s="463"/>
      <c r="G1551" s="463"/>
    </row>
    <row r="1552" spans="6:7" ht="12.75">
      <c r="F1552" s="463"/>
      <c r="G1552" s="463"/>
    </row>
    <row r="1553" spans="6:7" ht="12.75">
      <c r="F1553" s="463"/>
      <c r="G1553" s="463"/>
    </row>
    <row r="1554" spans="6:7" ht="12.75">
      <c r="F1554" s="463"/>
      <c r="G1554" s="463"/>
    </row>
    <row r="1555" spans="6:7" ht="12.75">
      <c r="F1555" s="463"/>
      <c r="G1555" s="463"/>
    </row>
    <row r="1556" spans="6:7" ht="12.75">
      <c r="F1556" s="463"/>
      <c r="G1556" s="463"/>
    </row>
    <row r="1557" spans="6:7" ht="12.75">
      <c r="F1557" s="463"/>
      <c r="G1557" s="463"/>
    </row>
    <row r="1558" spans="6:7" ht="12.75">
      <c r="F1558" s="463"/>
      <c r="G1558" s="463"/>
    </row>
    <row r="1559" spans="6:7" ht="12.75">
      <c r="F1559" s="463"/>
      <c r="G1559" s="463"/>
    </row>
    <row r="1560" spans="6:7" ht="12.75">
      <c r="F1560" s="463"/>
      <c r="G1560" s="463"/>
    </row>
    <row r="1561" spans="6:7" ht="12.75">
      <c r="F1561" s="463"/>
      <c r="G1561" s="463"/>
    </row>
    <row r="1562" spans="6:7" ht="12.75">
      <c r="F1562" s="463"/>
      <c r="G1562" s="463"/>
    </row>
    <row r="1563" spans="6:7" ht="12.75">
      <c r="F1563" s="463"/>
      <c r="G1563" s="463"/>
    </row>
    <row r="1564" spans="6:7" ht="12.75">
      <c r="F1564" s="463"/>
      <c r="G1564" s="463"/>
    </row>
    <row r="1565" spans="6:7" ht="12.75">
      <c r="F1565" s="463"/>
      <c r="G1565" s="463"/>
    </row>
    <row r="1566" spans="6:7" ht="12.75">
      <c r="F1566" s="463"/>
      <c r="G1566" s="463"/>
    </row>
    <row r="1567" spans="6:7" ht="12.75">
      <c r="F1567" s="463"/>
      <c r="G1567" s="463"/>
    </row>
    <row r="1568" spans="6:7" ht="12.75">
      <c r="F1568" s="463"/>
      <c r="G1568" s="463"/>
    </row>
    <row r="1569" spans="6:7" ht="12.75">
      <c r="F1569" s="463"/>
      <c r="G1569" s="463"/>
    </row>
    <row r="1570" spans="6:7" ht="12.75">
      <c r="F1570" s="463"/>
      <c r="G1570" s="463"/>
    </row>
    <row r="1571" spans="6:7" ht="12.75">
      <c r="F1571" s="463"/>
      <c r="G1571" s="463"/>
    </row>
    <row r="1572" spans="6:7" ht="12.75">
      <c r="F1572" s="463"/>
      <c r="G1572" s="463"/>
    </row>
    <row r="1573" spans="6:7" ht="12.75">
      <c r="F1573" s="463"/>
      <c r="G1573" s="463"/>
    </row>
    <row r="1574" spans="6:7" ht="12.75">
      <c r="F1574" s="463"/>
      <c r="G1574" s="463"/>
    </row>
    <row r="1575" spans="6:7" ht="12.75">
      <c r="F1575" s="463"/>
      <c r="G1575" s="463"/>
    </row>
    <row r="1576" spans="6:7" ht="12.75">
      <c r="F1576" s="463"/>
      <c r="G1576" s="463"/>
    </row>
    <row r="1577" spans="6:7" ht="12.75">
      <c r="F1577" s="463"/>
      <c r="G1577" s="463"/>
    </row>
    <row r="1578" spans="6:7" ht="12.75">
      <c r="F1578" s="463"/>
      <c r="G1578" s="463"/>
    </row>
    <row r="1579" spans="6:7" ht="12.75">
      <c r="F1579" s="463"/>
      <c r="G1579" s="463"/>
    </row>
    <row r="1580" spans="6:7" ht="12.75">
      <c r="F1580" s="463"/>
      <c r="G1580" s="463"/>
    </row>
    <row r="1581" spans="6:7" ht="12.75">
      <c r="F1581" s="463"/>
      <c r="G1581" s="463"/>
    </row>
    <row r="1582" spans="6:7" ht="12.75">
      <c r="F1582" s="463"/>
      <c r="G1582" s="463"/>
    </row>
    <row r="1583" spans="6:7" ht="12.75">
      <c r="F1583" s="463"/>
      <c r="G1583" s="463"/>
    </row>
    <row r="1584" spans="6:7" ht="12.75">
      <c r="F1584" s="463"/>
      <c r="G1584" s="463"/>
    </row>
    <row r="1585" spans="6:7" ht="12.75">
      <c r="F1585" s="463"/>
      <c r="G1585" s="463"/>
    </row>
    <row r="1586" spans="6:7" ht="12.75">
      <c r="F1586" s="463"/>
      <c r="G1586" s="463"/>
    </row>
    <row r="1587" spans="6:7" ht="12.75">
      <c r="F1587" s="463"/>
      <c r="G1587" s="463"/>
    </row>
    <row r="1588" spans="6:7" ht="12.75">
      <c r="F1588" s="463"/>
      <c r="G1588" s="463"/>
    </row>
    <row r="1589" spans="6:7" ht="12.75">
      <c r="F1589" s="463"/>
      <c r="G1589" s="463"/>
    </row>
    <row r="1590" spans="6:7" ht="12.75">
      <c r="F1590" s="463"/>
      <c r="G1590" s="463"/>
    </row>
    <row r="1591" spans="6:7" ht="12.75">
      <c r="F1591" s="463"/>
      <c r="G1591" s="463"/>
    </row>
    <row r="1592" spans="6:7" ht="12.75">
      <c r="F1592" s="463"/>
      <c r="G1592" s="463"/>
    </row>
    <row r="1593" spans="6:7" ht="12.75">
      <c r="F1593" s="463"/>
      <c r="G1593" s="463"/>
    </row>
    <row r="1594" spans="6:7" ht="12.75">
      <c r="F1594" s="463"/>
      <c r="G1594" s="463"/>
    </row>
    <row r="1595" spans="6:7" ht="12.75">
      <c r="F1595" s="463"/>
      <c r="G1595" s="463"/>
    </row>
    <row r="1596" spans="6:7" ht="12.75">
      <c r="F1596" s="463"/>
      <c r="G1596" s="463"/>
    </row>
    <row r="1597" spans="6:7" ht="12.75">
      <c r="F1597" s="463"/>
      <c r="G1597" s="463"/>
    </row>
    <row r="1598" spans="6:7" ht="12.75">
      <c r="F1598" s="463"/>
      <c r="G1598" s="463"/>
    </row>
    <row r="1599" spans="6:7" ht="12.75">
      <c r="F1599" s="463"/>
      <c r="G1599" s="463"/>
    </row>
    <row r="1600" spans="6:7" ht="12.75">
      <c r="F1600" s="463"/>
      <c r="G1600" s="463"/>
    </row>
    <row r="1601" spans="6:7" ht="12.75">
      <c r="F1601" s="463"/>
      <c r="G1601" s="463"/>
    </row>
    <row r="1602" spans="6:7" ht="12.75">
      <c r="F1602" s="463"/>
      <c r="G1602" s="463"/>
    </row>
    <row r="1603" spans="6:7" ht="12.75">
      <c r="F1603" s="463"/>
      <c r="G1603" s="463"/>
    </row>
    <row r="1604" spans="6:7" ht="12.75">
      <c r="F1604" s="463"/>
      <c r="G1604" s="463"/>
    </row>
    <row r="1605" spans="6:7" ht="12.75">
      <c r="F1605" s="463"/>
      <c r="G1605" s="463"/>
    </row>
    <row r="1606" spans="6:7" ht="12.75">
      <c r="F1606" s="463"/>
      <c r="G1606" s="463"/>
    </row>
    <row r="1607" spans="6:7" ht="12.75">
      <c r="F1607" s="463"/>
      <c r="G1607" s="463"/>
    </row>
    <row r="1608" spans="6:7" ht="12.75">
      <c r="F1608" s="463"/>
      <c r="G1608" s="463"/>
    </row>
    <row r="1609" spans="6:7" ht="12.75">
      <c r="F1609" s="463"/>
      <c r="G1609" s="463"/>
    </row>
    <row r="1610" spans="6:7" ht="12.75">
      <c r="F1610" s="463"/>
      <c r="G1610" s="463"/>
    </row>
    <row r="1611" spans="6:7" ht="12.75">
      <c r="F1611" s="463"/>
      <c r="G1611" s="463"/>
    </row>
    <row r="1612" spans="6:7" ht="12.75">
      <c r="F1612" s="463"/>
      <c r="G1612" s="463"/>
    </row>
    <row r="1613" spans="6:7" ht="12.75">
      <c r="F1613" s="463"/>
      <c r="G1613" s="463"/>
    </row>
    <row r="1614" spans="6:7" ht="12.75">
      <c r="F1614" s="463"/>
      <c r="G1614" s="463"/>
    </row>
    <row r="1615" spans="6:7" ht="12.75">
      <c r="F1615" s="463"/>
      <c r="G1615" s="463"/>
    </row>
    <row r="1616" spans="6:7" ht="12.75">
      <c r="F1616" s="463"/>
      <c r="G1616" s="463"/>
    </row>
    <row r="1617" spans="6:7" ht="12.75">
      <c r="F1617" s="463"/>
      <c r="G1617" s="463"/>
    </row>
    <row r="1618" spans="6:7" ht="12.75">
      <c r="F1618" s="463"/>
      <c r="G1618" s="463"/>
    </row>
    <row r="1619" spans="6:7" ht="12.75">
      <c r="F1619" s="463"/>
      <c r="G1619" s="463"/>
    </row>
    <row r="1620" spans="6:7" ht="12.75">
      <c r="F1620" s="463"/>
      <c r="G1620" s="463"/>
    </row>
    <row r="1621" spans="6:7" ht="12.75">
      <c r="F1621" s="463"/>
      <c r="G1621" s="463"/>
    </row>
    <row r="1622" spans="6:7" ht="12.75">
      <c r="F1622" s="463"/>
      <c r="G1622" s="463"/>
    </row>
    <row r="1623" spans="6:7" ht="12.75">
      <c r="F1623" s="463"/>
      <c r="G1623" s="463"/>
    </row>
    <row r="1624" spans="6:7" ht="12.75">
      <c r="F1624" s="463"/>
      <c r="G1624" s="463"/>
    </row>
    <row r="1625" spans="6:7" ht="12.75">
      <c r="F1625" s="463"/>
      <c r="G1625" s="463"/>
    </row>
    <row r="1626" spans="6:7" ht="12.75">
      <c r="F1626" s="463"/>
      <c r="G1626" s="463"/>
    </row>
    <row r="1627" spans="6:7" ht="12.75">
      <c r="F1627" s="463"/>
      <c r="G1627" s="463"/>
    </row>
    <row r="1628" spans="6:7" ht="12.75">
      <c r="F1628" s="463"/>
      <c r="G1628" s="463"/>
    </row>
    <row r="1629" spans="6:7" ht="12.75">
      <c r="F1629" s="463"/>
      <c r="G1629" s="463"/>
    </row>
    <row r="1630" spans="6:7" ht="12.75">
      <c r="F1630" s="463"/>
      <c r="G1630" s="463"/>
    </row>
    <row r="1631" spans="6:7" ht="12.75">
      <c r="F1631" s="463"/>
      <c r="G1631" s="463"/>
    </row>
    <row r="1632" spans="6:7" ht="12.75">
      <c r="F1632" s="463"/>
      <c r="G1632" s="463"/>
    </row>
    <row r="1633" spans="6:7" ht="12.75">
      <c r="F1633" s="463"/>
      <c r="G1633" s="463"/>
    </row>
    <row r="1634" spans="6:7" ht="12.75">
      <c r="F1634" s="463"/>
      <c r="G1634" s="463"/>
    </row>
    <row r="1635" spans="6:7" ht="12.75">
      <c r="F1635" s="463"/>
      <c r="G1635" s="463"/>
    </row>
    <row r="1636" spans="6:7" ht="12.75">
      <c r="F1636" s="463"/>
      <c r="G1636" s="463"/>
    </row>
    <row r="1637" spans="6:7" ht="12.75">
      <c r="F1637" s="463"/>
      <c r="G1637" s="463"/>
    </row>
    <row r="1638" spans="6:7" ht="12.75">
      <c r="F1638" s="463"/>
      <c r="G1638" s="463"/>
    </row>
    <row r="1639" spans="6:7" ht="12.75">
      <c r="F1639" s="463"/>
      <c r="G1639" s="463"/>
    </row>
    <row r="1640" spans="6:7" ht="12.75">
      <c r="F1640" s="463"/>
      <c r="G1640" s="463"/>
    </row>
    <row r="1641" spans="6:7" ht="12.75">
      <c r="F1641" s="463"/>
      <c r="G1641" s="463"/>
    </row>
    <row r="1642" spans="6:7" ht="12.75">
      <c r="F1642" s="463"/>
      <c r="G1642" s="463"/>
    </row>
    <row r="1643" spans="6:7" ht="12.75">
      <c r="F1643" s="463"/>
      <c r="G1643" s="463"/>
    </row>
    <row r="1644" spans="6:7" ht="12.75">
      <c r="F1644" s="463"/>
      <c r="G1644" s="463"/>
    </row>
    <row r="1645" spans="6:7" ht="12.75">
      <c r="F1645" s="463"/>
      <c r="G1645" s="463"/>
    </row>
    <row r="1646" spans="6:7" ht="12.75">
      <c r="F1646" s="463"/>
      <c r="G1646" s="463"/>
    </row>
    <row r="1647" spans="6:7" ht="12.75">
      <c r="F1647" s="463"/>
      <c r="G1647" s="463"/>
    </row>
    <row r="1648" spans="6:7" ht="12.75">
      <c r="F1648" s="463"/>
      <c r="G1648" s="463"/>
    </row>
    <row r="1649" spans="6:7" ht="12.75">
      <c r="F1649" s="463"/>
      <c r="G1649" s="463"/>
    </row>
    <row r="1650" spans="6:7" ht="12.75">
      <c r="F1650" s="463"/>
      <c r="G1650" s="463"/>
    </row>
    <row r="1651" spans="6:7" ht="12.75">
      <c r="F1651" s="463"/>
      <c r="G1651" s="463"/>
    </row>
    <row r="1652" spans="6:7" ht="12.75">
      <c r="F1652" s="463"/>
      <c r="G1652" s="463"/>
    </row>
    <row r="1653" spans="6:7" ht="12.75">
      <c r="F1653" s="463"/>
      <c r="G1653" s="463"/>
    </row>
    <row r="1654" spans="6:7" ht="12.75">
      <c r="F1654" s="463"/>
      <c r="G1654" s="463"/>
    </row>
    <row r="1655" spans="6:7" ht="12.75">
      <c r="F1655" s="463"/>
      <c r="G1655" s="463"/>
    </row>
    <row r="1656" spans="6:7" ht="12.75">
      <c r="F1656" s="463"/>
      <c r="G1656" s="463"/>
    </row>
    <row r="1657" spans="6:7" ht="12.75">
      <c r="F1657" s="463"/>
      <c r="G1657" s="463"/>
    </row>
    <row r="1658" spans="6:7" ht="12.75">
      <c r="F1658" s="463"/>
      <c r="G1658" s="463"/>
    </row>
    <row r="1659" spans="6:7" ht="12.75">
      <c r="F1659" s="463"/>
      <c r="G1659" s="463"/>
    </row>
    <row r="1660" spans="6:7" ht="12.75">
      <c r="F1660" s="463"/>
      <c r="G1660" s="463"/>
    </row>
    <row r="1661" spans="6:7" ht="12.75">
      <c r="F1661" s="463"/>
      <c r="G1661" s="463"/>
    </row>
    <row r="1662" spans="6:7" ht="12.75">
      <c r="F1662" s="463"/>
      <c r="G1662" s="463"/>
    </row>
    <row r="1663" spans="6:7" ht="12.75">
      <c r="F1663" s="463"/>
      <c r="G1663" s="463"/>
    </row>
    <row r="1664" spans="6:7" ht="12.75">
      <c r="F1664" s="463"/>
      <c r="G1664" s="463"/>
    </row>
    <row r="1665" spans="6:7" ht="12.75">
      <c r="F1665" s="463"/>
      <c r="G1665" s="463"/>
    </row>
    <row r="1666" spans="6:7" ht="12.75">
      <c r="F1666" s="463"/>
      <c r="G1666" s="463"/>
    </row>
    <row r="1667" spans="6:7" ht="12.75">
      <c r="F1667" s="463"/>
      <c r="G1667" s="463"/>
    </row>
    <row r="1668" spans="6:7" ht="12.75">
      <c r="F1668" s="463"/>
      <c r="G1668" s="463"/>
    </row>
    <row r="1669" spans="6:7" ht="12.75">
      <c r="F1669" s="463"/>
      <c r="G1669" s="463"/>
    </row>
    <row r="1670" spans="6:7" ht="12.75">
      <c r="F1670" s="463"/>
      <c r="G1670" s="463"/>
    </row>
    <row r="1671" spans="6:7" ht="12.75">
      <c r="F1671" s="463"/>
      <c r="G1671" s="463"/>
    </row>
    <row r="1672" spans="6:7" ht="12.75">
      <c r="F1672" s="463"/>
      <c r="G1672" s="463"/>
    </row>
    <row r="1673" spans="6:7" ht="12.75">
      <c r="F1673" s="463"/>
      <c r="G1673" s="463"/>
    </row>
    <row r="1674" spans="6:7" ht="12.75">
      <c r="F1674" s="463"/>
      <c r="G1674" s="463"/>
    </row>
    <row r="1675" spans="6:7" ht="12.75">
      <c r="F1675" s="463"/>
      <c r="G1675" s="463"/>
    </row>
    <row r="1676" spans="6:7" ht="12.75">
      <c r="F1676" s="463"/>
      <c r="G1676" s="463"/>
    </row>
    <row r="1677" spans="6:7" ht="12.75">
      <c r="F1677" s="463"/>
      <c r="G1677" s="463"/>
    </row>
    <row r="1678" spans="6:7" ht="12.75">
      <c r="F1678" s="463"/>
      <c r="G1678" s="463"/>
    </row>
    <row r="1679" spans="6:7" ht="12.75">
      <c r="F1679" s="463"/>
      <c r="G1679" s="463"/>
    </row>
    <row r="1680" spans="6:7" ht="12.75">
      <c r="F1680" s="463"/>
      <c r="G1680" s="463"/>
    </row>
    <row r="1681" spans="6:7" ht="12.75">
      <c r="F1681" s="463"/>
      <c r="G1681" s="463"/>
    </row>
    <row r="1682" spans="6:7" ht="12.75">
      <c r="F1682" s="463"/>
      <c r="G1682" s="463"/>
    </row>
    <row r="1683" spans="6:7" ht="12.75">
      <c r="F1683" s="463"/>
      <c r="G1683" s="463"/>
    </row>
    <row r="1684" spans="6:7" ht="12.75">
      <c r="F1684" s="463"/>
      <c r="G1684" s="463"/>
    </row>
    <row r="1685" spans="6:7" ht="12.75">
      <c r="F1685" s="463"/>
      <c r="G1685" s="463"/>
    </row>
    <row r="1686" spans="6:7" ht="12.75">
      <c r="F1686" s="463"/>
      <c r="G1686" s="463"/>
    </row>
    <row r="1687" spans="6:7" ht="12.75">
      <c r="F1687" s="463"/>
      <c r="G1687" s="463"/>
    </row>
    <row r="1688" spans="6:7" ht="12.75">
      <c r="F1688" s="463"/>
      <c r="G1688" s="463"/>
    </row>
    <row r="1689" spans="6:7" ht="12.75">
      <c r="F1689" s="463"/>
      <c r="G1689" s="463"/>
    </row>
    <row r="1690" spans="6:7" ht="12.75">
      <c r="F1690" s="463"/>
      <c r="G1690" s="463"/>
    </row>
    <row r="1691" spans="6:7" ht="12.75">
      <c r="F1691" s="463"/>
      <c r="G1691" s="463"/>
    </row>
    <row r="1692" spans="6:7" ht="12.75">
      <c r="F1692" s="463"/>
      <c r="G1692" s="463"/>
    </row>
    <row r="1693" spans="6:7" ht="12.75">
      <c r="F1693" s="463"/>
      <c r="G1693" s="463"/>
    </row>
    <row r="1694" spans="6:7" ht="12.75">
      <c r="F1694" s="463"/>
      <c r="G1694" s="463"/>
    </row>
    <row r="1695" spans="6:7" ht="12.75">
      <c r="F1695" s="463"/>
      <c r="G1695" s="463"/>
    </row>
    <row r="1696" spans="6:7" ht="12.75">
      <c r="F1696" s="463"/>
      <c r="G1696" s="463"/>
    </row>
    <row r="1697" spans="6:7" ht="12.75">
      <c r="F1697" s="463"/>
      <c r="G1697" s="463"/>
    </row>
    <row r="1698" spans="6:7" ht="12.75">
      <c r="F1698" s="463"/>
      <c r="G1698" s="463"/>
    </row>
    <row r="1699" spans="6:7" ht="12.75">
      <c r="F1699" s="463"/>
      <c r="G1699" s="463"/>
    </row>
    <row r="1700" spans="6:7" ht="12.75">
      <c r="F1700" s="463"/>
      <c r="G1700" s="463"/>
    </row>
    <row r="1701" spans="6:7" ht="12.75">
      <c r="F1701" s="463"/>
      <c r="G1701" s="463"/>
    </row>
    <row r="1702" spans="6:7" ht="12.75">
      <c r="F1702" s="463"/>
      <c r="G1702" s="463"/>
    </row>
    <row r="1703" spans="6:7" ht="12.75">
      <c r="F1703" s="463"/>
      <c r="G1703" s="463"/>
    </row>
    <row r="1704" spans="6:7" ht="12.75">
      <c r="F1704" s="463"/>
      <c r="G1704" s="463"/>
    </row>
    <row r="1705" spans="6:7" ht="12.75">
      <c r="F1705" s="463"/>
      <c r="G1705" s="463"/>
    </row>
    <row r="1706" spans="6:7" ht="12.75">
      <c r="F1706" s="463"/>
      <c r="G1706" s="463"/>
    </row>
    <row r="1707" spans="6:7" ht="12.75">
      <c r="F1707" s="463"/>
      <c r="G1707" s="463"/>
    </row>
    <row r="1708" spans="6:7" ht="12.75">
      <c r="F1708" s="463"/>
      <c r="G1708" s="463"/>
    </row>
    <row r="1709" spans="6:7" ht="12.75">
      <c r="F1709" s="463"/>
      <c r="G1709" s="463"/>
    </row>
    <row r="1710" spans="6:7" ht="12.75">
      <c r="F1710" s="463"/>
      <c r="G1710" s="463"/>
    </row>
    <row r="1711" spans="6:7" ht="12.75">
      <c r="F1711" s="463"/>
      <c r="G1711" s="463"/>
    </row>
    <row r="1712" spans="6:7" ht="12.75">
      <c r="F1712" s="463"/>
      <c r="G1712" s="463"/>
    </row>
    <row r="1713" spans="6:7" ht="12.75">
      <c r="F1713" s="463"/>
      <c r="G1713" s="463"/>
    </row>
    <row r="1714" spans="6:7" ht="12.75">
      <c r="F1714" s="463"/>
      <c r="G1714" s="463"/>
    </row>
    <row r="1715" spans="6:7" ht="12.75">
      <c r="F1715" s="463"/>
      <c r="G1715" s="463"/>
    </row>
    <row r="1716" spans="6:7" ht="12.75">
      <c r="F1716" s="463"/>
      <c r="G1716" s="463"/>
    </row>
    <row r="1717" spans="6:7" ht="12.75">
      <c r="F1717" s="463"/>
      <c r="G1717" s="463"/>
    </row>
    <row r="1718" spans="6:7" ht="12.75">
      <c r="F1718" s="463"/>
      <c r="G1718" s="463"/>
    </row>
    <row r="1719" spans="6:7" ht="12.75">
      <c r="F1719" s="463"/>
      <c r="G1719" s="463"/>
    </row>
    <row r="1720" spans="6:7" ht="12.75">
      <c r="F1720" s="463"/>
      <c r="G1720" s="463"/>
    </row>
    <row r="1721" spans="6:7" ht="12.75">
      <c r="F1721" s="463"/>
      <c r="G1721" s="463"/>
    </row>
    <row r="1722" spans="6:7" ht="12.75">
      <c r="F1722" s="463"/>
      <c r="G1722" s="463"/>
    </row>
    <row r="1723" spans="6:7" ht="12.75">
      <c r="F1723" s="463"/>
      <c r="G1723" s="463"/>
    </row>
    <row r="1724" spans="6:7" ht="12.75">
      <c r="F1724" s="463"/>
      <c r="G1724" s="463"/>
    </row>
    <row r="1725" spans="6:7" ht="12.75">
      <c r="F1725" s="463"/>
      <c r="G1725" s="463"/>
    </row>
    <row r="1726" spans="6:7" ht="12.75">
      <c r="F1726" s="463"/>
      <c r="G1726" s="463"/>
    </row>
    <row r="1727" spans="6:7" ht="12.75">
      <c r="F1727" s="463"/>
      <c r="G1727" s="463"/>
    </row>
    <row r="1728" spans="6:7" ht="12.75">
      <c r="F1728" s="463"/>
      <c r="G1728" s="463"/>
    </row>
    <row r="1729" spans="6:7" ht="12.75">
      <c r="F1729" s="463"/>
      <c r="G1729" s="463"/>
    </row>
    <row r="1730" spans="6:7" ht="12.75">
      <c r="F1730" s="463"/>
      <c r="G1730" s="463"/>
    </row>
    <row r="1731" spans="6:7" ht="12.75">
      <c r="F1731" s="463"/>
      <c r="G1731" s="463"/>
    </row>
    <row r="1732" spans="6:7" ht="12.75">
      <c r="F1732" s="463"/>
      <c r="G1732" s="463"/>
    </row>
    <row r="1733" spans="6:7" ht="12.75">
      <c r="F1733" s="463"/>
      <c r="G1733" s="463"/>
    </row>
    <row r="1734" spans="6:7" ht="12.75">
      <c r="F1734" s="463"/>
      <c r="G1734" s="463"/>
    </row>
    <row r="1735" spans="6:7" ht="12.75">
      <c r="F1735" s="463"/>
      <c r="G1735" s="463"/>
    </row>
    <row r="1736" spans="6:7" ht="12.75">
      <c r="F1736" s="463"/>
      <c r="G1736" s="463"/>
    </row>
    <row r="1737" spans="6:7" ht="12.75">
      <c r="F1737" s="463"/>
      <c r="G1737" s="463"/>
    </row>
    <row r="1738" spans="6:7" ht="12.75">
      <c r="F1738" s="463"/>
      <c r="G1738" s="463"/>
    </row>
    <row r="1739" spans="6:7" ht="12.75">
      <c r="F1739" s="463"/>
      <c r="G1739" s="463"/>
    </row>
    <row r="1740" spans="6:7" ht="12.75">
      <c r="F1740" s="463"/>
      <c r="G1740" s="463"/>
    </row>
    <row r="1741" spans="6:7" ht="12.75">
      <c r="F1741" s="463"/>
      <c r="G1741" s="463"/>
    </row>
    <row r="1742" spans="6:7" ht="12.75">
      <c r="F1742" s="463"/>
      <c r="G1742" s="463"/>
    </row>
    <row r="1743" spans="6:7" ht="12.75">
      <c r="F1743" s="463"/>
      <c r="G1743" s="463"/>
    </row>
    <row r="1744" spans="6:7" ht="12.75">
      <c r="F1744" s="463"/>
      <c r="G1744" s="463"/>
    </row>
    <row r="1745" spans="6:7" ht="12.75">
      <c r="F1745" s="463"/>
      <c r="G1745" s="463"/>
    </row>
    <row r="1746" spans="6:7" ht="12.75">
      <c r="F1746" s="463"/>
      <c r="G1746" s="463"/>
    </row>
    <row r="1747" spans="6:7" ht="12.75">
      <c r="F1747" s="463"/>
      <c r="G1747" s="463"/>
    </row>
    <row r="1748" spans="6:7" ht="12.75">
      <c r="F1748" s="463"/>
      <c r="G1748" s="463"/>
    </row>
    <row r="1749" spans="6:7" ht="12.75">
      <c r="F1749" s="463"/>
      <c r="G1749" s="463"/>
    </row>
    <row r="1750" spans="6:7" ht="12.75">
      <c r="F1750" s="463"/>
      <c r="G1750" s="463"/>
    </row>
    <row r="1751" spans="6:7" ht="12.75">
      <c r="F1751" s="463"/>
      <c r="G1751" s="463"/>
    </row>
    <row r="1752" spans="6:7" ht="12.75">
      <c r="F1752" s="463"/>
      <c r="G1752" s="463"/>
    </row>
    <row r="1753" spans="6:7" ht="12.75">
      <c r="F1753" s="463"/>
      <c r="G1753" s="463"/>
    </row>
    <row r="1754" spans="6:7" ht="12.75">
      <c r="F1754" s="463"/>
      <c r="G1754" s="463"/>
    </row>
    <row r="1755" spans="6:7" ht="12.75">
      <c r="F1755" s="463"/>
      <c r="G1755" s="463"/>
    </row>
    <row r="1756" spans="6:7" ht="12.75">
      <c r="F1756" s="463"/>
      <c r="G1756" s="463"/>
    </row>
    <row r="1757" spans="6:7" ht="12.75">
      <c r="F1757" s="463"/>
      <c r="G1757" s="463"/>
    </row>
    <row r="1758" spans="6:7" ht="12.75">
      <c r="F1758" s="463"/>
      <c r="G1758" s="463"/>
    </row>
    <row r="1759" spans="6:7" ht="12.75">
      <c r="F1759" s="463"/>
      <c r="G1759" s="463"/>
    </row>
    <row r="1760" spans="6:7" ht="12.75">
      <c r="F1760" s="463"/>
      <c r="G1760" s="463"/>
    </row>
    <row r="1761" spans="6:7" ht="12.75">
      <c r="F1761" s="463"/>
      <c r="G1761" s="463"/>
    </row>
    <row r="1762" spans="6:7" ht="12.75">
      <c r="F1762" s="463"/>
      <c r="G1762" s="463"/>
    </row>
    <row r="1763" spans="6:7" ht="12.75">
      <c r="F1763" s="463"/>
      <c r="G1763" s="463"/>
    </row>
    <row r="1764" spans="6:7" ht="12.75">
      <c r="F1764" s="463"/>
      <c r="G1764" s="463"/>
    </row>
    <row r="1765" spans="6:7" ht="12.75">
      <c r="F1765" s="463"/>
      <c r="G1765" s="463"/>
    </row>
    <row r="1766" spans="6:7" ht="12.75">
      <c r="F1766" s="463"/>
      <c r="G1766" s="463"/>
    </row>
    <row r="1767" spans="6:7" ht="12.75">
      <c r="F1767" s="463"/>
      <c r="G1767" s="463"/>
    </row>
    <row r="1768" spans="6:7" ht="12.75">
      <c r="F1768" s="463"/>
      <c r="G1768" s="463"/>
    </row>
    <row r="1769" spans="6:7" ht="12.75">
      <c r="F1769" s="463"/>
      <c r="G1769" s="463"/>
    </row>
    <row r="1770" spans="6:7" ht="12.75">
      <c r="F1770" s="463"/>
      <c r="G1770" s="463"/>
    </row>
    <row r="1771" spans="6:7" ht="12.75">
      <c r="F1771" s="463"/>
      <c r="G1771" s="463"/>
    </row>
    <row r="1772" spans="6:7" ht="12.75">
      <c r="F1772" s="463"/>
      <c r="G1772" s="463"/>
    </row>
    <row r="1773" spans="6:7" ht="12.75">
      <c r="F1773" s="463"/>
      <c r="G1773" s="463"/>
    </row>
    <row r="1774" spans="6:7" ht="12.75">
      <c r="F1774" s="463"/>
      <c r="G1774" s="463"/>
    </row>
    <row r="1775" spans="6:7" ht="12.75">
      <c r="F1775" s="463"/>
      <c r="G1775" s="463"/>
    </row>
    <row r="1776" spans="6:7" ht="12.75">
      <c r="F1776" s="463"/>
      <c r="G1776" s="463"/>
    </row>
    <row r="1777" spans="6:7" ht="12.75">
      <c r="F1777" s="463"/>
      <c r="G1777" s="463"/>
    </row>
    <row r="1778" spans="6:7" ht="12.75">
      <c r="F1778" s="463"/>
      <c r="G1778" s="463"/>
    </row>
    <row r="1779" spans="6:7" ht="12.75">
      <c r="F1779" s="463"/>
      <c r="G1779" s="463"/>
    </row>
    <row r="1780" spans="6:7" ht="12.75">
      <c r="F1780" s="463"/>
      <c r="G1780" s="463"/>
    </row>
    <row r="1781" spans="6:7" ht="12.75">
      <c r="F1781" s="463"/>
      <c r="G1781" s="463"/>
    </row>
    <row r="1782" spans="6:7" ht="12.75">
      <c r="F1782" s="463"/>
      <c r="G1782" s="463"/>
    </row>
    <row r="1783" spans="6:7" ht="12.75">
      <c r="F1783" s="463"/>
      <c r="G1783" s="463"/>
    </row>
    <row r="1784" spans="6:7" ht="12.75">
      <c r="F1784" s="463"/>
      <c r="G1784" s="463"/>
    </row>
    <row r="1785" spans="6:7" ht="12.75">
      <c r="F1785" s="463"/>
      <c r="G1785" s="463"/>
    </row>
    <row r="1786" spans="6:7" ht="12.75">
      <c r="F1786" s="463"/>
      <c r="G1786" s="463"/>
    </row>
    <row r="1787" spans="6:7" ht="12.75">
      <c r="F1787" s="463"/>
      <c r="G1787" s="463"/>
    </row>
    <row r="1788" spans="6:7" ht="12.75">
      <c r="F1788" s="463"/>
      <c r="G1788" s="463"/>
    </row>
    <row r="1789" spans="6:7" ht="12.75">
      <c r="F1789" s="463"/>
      <c r="G1789" s="463"/>
    </row>
    <row r="1790" spans="6:7" ht="12.75">
      <c r="F1790" s="463"/>
      <c r="G1790" s="463"/>
    </row>
    <row r="1791" spans="6:7" ht="12.75">
      <c r="F1791" s="463"/>
      <c r="G1791" s="463"/>
    </row>
    <row r="1792" spans="6:7" ht="12.75">
      <c r="F1792" s="463"/>
      <c r="G1792" s="463"/>
    </row>
    <row r="1793" spans="6:7" ht="12.75">
      <c r="F1793" s="463"/>
      <c r="G1793" s="463"/>
    </row>
    <row r="1794" spans="6:7" ht="12.75">
      <c r="F1794" s="463"/>
      <c r="G1794" s="463"/>
    </row>
    <row r="1795" spans="6:7" ht="12.75">
      <c r="F1795" s="463"/>
      <c r="G1795" s="463"/>
    </row>
    <row r="1796" spans="6:7" ht="12.75">
      <c r="F1796" s="463"/>
      <c r="G1796" s="463"/>
    </row>
    <row r="1797" spans="6:7" ht="12.75">
      <c r="F1797" s="463"/>
      <c r="G1797" s="463"/>
    </row>
    <row r="1798" spans="6:7" ht="12.75">
      <c r="F1798" s="463"/>
      <c r="G1798" s="463"/>
    </row>
    <row r="1799" spans="6:7" ht="12.75">
      <c r="F1799" s="463"/>
      <c r="G1799" s="463"/>
    </row>
    <row r="1800" spans="6:7" ht="12.75">
      <c r="F1800" s="463"/>
      <c r="G1800" s="463"/>
    </row>
    <row r="1801" spans="6:7" ht="12.75">
      <c r="F1801" s="463"/>
      <c r="G1801" s="463"/>
    </row>
    <row r="1802" spans="6:7" ht="12.75">
      <c r="F1802" s="463"/>
      <c r="G1802" s="463"/>
    </row>
    <row r="1803" spans="6:7" ht="12.75">
      <c r="F1803" s="463"/>
      <c r="G1803" s="463"/>
    </row>
    <row r="1804" spans="6:7" ht="12.75">
      <c r="F1804" s="463"/>
      <c r="G1804" s="463"/>
    </row>
    <row r="1805" spans="6:7" ht="12.75">
      <c r="F1805" s="463"/>
      <c r="G1805" s="463"/>
    </row>
    <row r="1806" spans="6:7" ht="12.75">
      <c r="F1806" s="463"/>
      <c r="G1806" s="463"/>
    </row>
    <row r="1807" spans="6:7" ht="12.75">
      <c r="F1807" s="463"/>
      <c r="G1807" s="463"/>
    </row>
    <row r="1808" spans="6:7" ht="12.75">
      <c r="F1808" s="463"/>
      <c r="G1808" s="463"/>
    </row>
    <row r="1809" spans="6:7" ht="12.75">
      <c r="F1809" s="463"/>
      <c r="G1809" s="463"/>
    </row>
    <row r="1810" spans="6:7" ht="12.75">
      <c r="F1810" s="463"/>
      <c r="G1810" s="463"/>
    </row>
    <row r="1811" spans="6:7" ht="12.75">
      <c r="F1811" s="463"/>
      <c r="G1811" s="463"/>
    </row>
    <row r="1812" spans="6:7" ht="12.75">
      <c r="F1812" s="463"/>
      <c r="G1812" s="463"/>
    </row>
    <row r="1813" spans="6:7" ht="12.75">
      <c r="F1813" s="463"/>
      <c r="G1813" s="463"/>
    </row>
    <row r="1814" spans="6:7" ht="12.75">
      <c r="F1814" s="463"/>
      <c r="G1814" s="463"/>
    </row>
    <row r="1815" spans="6:7" ht="12.75">
      <c r="F1815" s="463"/>
      <c r="G1815" s="463"/>
    </row>
    <row r="1816" spans="6:7" ht="12.75">
      <c r="F1816" s="463"/>
      <c r="G1816" s="463"/>
    </row>
    <row r="1817" spans="6:7" ht="12.75">
      <c r="F1817" s="463"/>
      <c r="G1817" s="463"/>
    </row>
    <row r="1818" spans="6:7" ht="12.75">
      <c r="F1818" s="463"/>
      <c r="G1818" s="463"/>
    </row>
    <row r="1819" spans="6:7" ht="12.75">
      <c r="F1819" s="463"/>
      <c r="G1819" s="463"/>
    </row>
    <row r="1820" spans="6:7" ht="12.75">
      <c r="F1820" s="463"/>
      <c r="G1820" s="463"/>
    </row>
    <row r="1821" spans="6:7" ht="12.75">
      <c r="F1821" s="463"/>
      <c r="G1821" s="463"/>
    </row>
    <row r="1822" spans="6:7" ht="12.75">
      <c r="F1822" s="463"/>
      <c r="G1822" s="463"/>
    </row>
    <row r="1823" spans="6:7" ht="12.75">
      <c r="F1823" s="463"/>
      <c r="G1823" s="463"/>
    </row>
    <row r="1824" spans="6:7" ht="12.75">
      <c r="F1824" s="463"/>
      <c r="G1824" s="463"/>
    </row>
    <row r="1825" spans="6:7" ht="12.75">
      <c r="F1825" s="463"/>
      <c r="G1825" s="463"/>
    </row>
    <row r="1826" spans="6:7" ht="12.75">
      <c r="F1826" s="463"/>
      <c r="G1826" s="463"/>
    </row>
    <row r="1827" spans="6:7" ht="12.75">
      <c r="F1827" s="463"/>
      <c r="G1827" s="463"/>
    </row>
    <row r="1828" spans="6:7" ht="12.75">
      <c r="F1828" s="463"/>
      <c r="G1828" s="463"/>
    </row>
    <row r="1829" spans="6:7" ht="12.75">
      <c r="F1829" s="463"/>
      <c r="G1829" s="463"/>
    </row>
    <row r="1830" spans="6:7" ht="12.75">
      <c r="F1830" s="463"/>
      <c r="G1830" s="463"/>
    </row>
    <row r="1831" spans="6:7" ht="12.75">
      <c r="F1831" s="463"/>
      <c r="G1831" s="463"/>
    </row>
    <row r="1832" spans="6:7" ht="12.75">
      <c r="F1832" s="463"/>
      <c r="G1832" s="463"/>
    </row>
    <row r="1833" spans="6:7" ht="12.75">
      <c r="F1833" s="463"/>
      <c r="G1833" s="463"/>
    </row>
    <row r="1834" spans="6:7" ht="12.75">
      <c r="F1834" s="463"/>
      <c r="G1834" s="463"/>
    </row>
    <row r="1835" spans="6:7" ht="12.75">
      <c r="F1835" s="463"/>
      <c r="G1835" s="463"/>
    </row>
    <row r="1836" spans="6:7" ht="12.75">
      <c r="F1836" s="463"/>
      <c r="G1836" s="463"/>
    </row>
    <row r="1837" spans="6:7" ht="12.75">
      <c r="F1837" s="463"/>
      <c r="G1837" s="463"/>
    </row>
    <row r="1838" spans="6:7" ht="12.75">
      <c r="F1838" s="463"/>
      <c r="G1838" s="463"/>
    </row>
    <row r="1839" spans="6:7" ht="12.75">
      <c r="F1839" s="463"/>
      <c r="G1839" s="463"/>
    </row>
    <row r="1840" spans="6:7" ht="12.75">
      <c r="F1840" s="463"/>
      <c r="G1840" s="463"/>
    </row>
    <row r="1841" spans="6:7" ht="12.75">
      <c r="F1841" s="463"/>
      <c r="G1841" s="463"/>
    </row>
    <row r="1842" spans="6:7" ht="12.75">
      <c r="F1842" s="463"/>
      <c r="G1842" s="463"/>
    </row>
    <row r="1843" spans="6:7" ht="12.75">
      <c r="F1843" s="463"/>
      <c r="G1843" s="463"/>
    </row>
    <row r="1844" spans="6:7" ht="12.75">
      <c r="F1844" s="463"/>
      <c r="G1844" s="463"/>
    </row>
    <row r="1845" spans="6:7" ht="12.75">
      <c r="F1845" s="463"/>
      <c r="G1845" s="463"/>
    </row>
    <row r="1846" spans="6:7" ht="12.75">
      <c r="F1846" s="463"/>
      <c r="G1846" s="463"/>
    </row>
    <row r="1847" spans="6:7" ht="12.75">
      <c r="F1847" s="463"/>
      <c r="G1847" s="463"/>
    </row>
    <row r="1848" spans="6:7" ht="12.75">
      <c r="F1848" s="463"/>
      <c r="G1848" s="463"/>
    </row>
    <row r="1849" spans="6:7" ht="12.75">
      <c r="F1849" s="463"/>
      <c r="G1849" s="463"/>
    </row>
    <row r="1850" spans="6:7" ht="12.75">
      <c r="F1850" s="463"/>
      <c r="G1850" s="463"/>
    </row>
    <row r="1851" spans="6:7" ht="12.75">
      <c r="F1851" s="463"/>
      <c r="G1851" s="463"/>
    </row>
    <row r="1852" spans="6:7" ht="12.75">
      <c r="F1852" s="463"/>
      <c r="G1852" s="463"/>
    </row>
    <row r="1853" spans="6:7" ht="12.75">
      <c r="F1853" s="463"/>
      <c r="G1853" s="463"/>
    </row>
    <row r="1854" spans="6:7" ht="12.75">
      <c r="F1854" s="463"/>
      <c r="G1854" s="463"/>
    </row>
    <row r="1855" spans="6:7" ht="12.75">
      <c r="F1855" s="463"/>
      <c r="G1855" s="463"/>
    </row>
    <row r="1856" spans="6:7" ht="12.75">
      <c r="F1856" s="463"/>
      <c r="G1856" s="463"/>
    </row>
    <row r="1857" spans="6:7" ht="12.75">
      <c r="F1857" s="463"/>
      <c r="G1857" s="463"/>
    </row>
    <row r="1858" spans="6:7" ht="12.75">
      <c r="F1858" s="463"/>
      <c r="G1858" s="463"/>
    </row>
    <row r="1859" spans="6:7" ht="12.75">
      <c r="F1859" s="463"/>
      <c r="G1859" s="463"/>
    </row>
    <row r="1860" spans="6:7" ht="12.75">
      <c r="F1860" s="463"/>
      <c r="G1860" s="463"/>
    </row>
    <row r="1861" spans="6:7" ht="12.75">
      <c r="F1861" s="463"/>
      <c r="G1861" s="463"/>
    </row>
    <row r="1862" spans="6:7" ht="12.75">
      <c r="F1862" s="463"/>
      <c r="G1862" s="463"/>
    </row>
    <row r="1863" spans="6:7" ht="12.75">
      <c r="F1863" s="463"/>
      <c r="G1863" s="463"/>
    </row>
    <row r="1864" spans="6:7" ht="12.75">
      <c r="F1864" s="463"/>
      <c r="G1864" s="463"/>
    </row>
    <row r="1865" spans="6:7" ht="12.75">
      <c r="F1865" s="463"/>
      <c r="G1865" s="463"/>
    </row>
    <row r="1866" spans="6:7" ht="12.75">
      <c r="F1866" s="463"/>
      <c r="G1866" s="463"/>
    </row>
    <row r="1867" spans="6:7" ht="12.75">
      <c r="F1867" s="463"/>
      <c r="G1867" s="463"/>
    </row>
    <row r="1868" spans="6:7" ht="12.75">
      <c r="F1868" s="463"/>
      <c r="G1868" s="463"/>
    </row>
    <row r="1869" spans="6:7" ht="12.75">
      <c r="F1869" s="463"/>
      <c r="G1869" s="463"/>
    </row>
    <row r="1870" spans="6:7" ht="12.75">
      <c r="F1870" s="463"/>
      <c r="G1870" s="463"/>
    </row>
    <row r="1871" spans="6:7" ht="12.75">
      <c r="F1871" s="463"/>
      <c r="G1871" s="463"/>
    </row>
    <row r="1872" spans="6:7" ht="12.75">
      <c r="F1872" s="463"/>
      <c r="G1872" s="463"/>
    </row>
    <row r="1873" spans="6:7" ht="12.75">
      <c r="F1873" s="463"/>
      <c r="G1873" s="463"/>
    </row>
    <row r="1874" spans="6:7" ht="12.75">
      <c r="F1874" s="463"/>
      <c r="G1874" s="463"/>
    </row>
    <row r="1875" spans="6:7" ht="12.75">
      <c r="F1875" s="463"/>
      <c r="G1875" s="463"/>
    </row>
    <row r="1876" spans="6:7" ht="12.75">
      <c r="F1876" s="463"/>
      <c r="G1876" s="463"/>
    </row>
    <row r="1877" spans="6:7" ht="12.75">
      <c r="F1877" s="463"/>
      <c r="G1877" s="463"/>
    </row>
    <row r="1878" spans="6:7" ht="12.75">
      <c r="F1878" s="463"/>
      <c r="G1878" s="463"/>
    </row>
    <row r="1879" spans="6:7" ht="12.75">
      <c r="F1879" s="463"/>
      <c r="G1879" s="463"/>
    </row>
    <row r="1880" spans="6:7" ht="12.75">
      <c r="F1880" s="463"/>
      <c r="G1880" s="463"/>
    </row>
    <row r="1881" spans="6:7" ht="12.75">
      <c r="F1881" s="463"/>
      <c r="G1881" s="463"/>
    </row>
    <row r="1882" spans="6:7" ht="12.75">
      <c r="F1882" s="463"/>
      <c r="G1882" s="463"/>
    </row>
    <row r="1883" spans="6:7" ht="12.75">
      <c r="F1883" s="463"/>
      <c r="G1883" s="463"/>
    </row>
    <row r="1884" spans="6:7" ht="12.75">
      <c r="F1884" s="463"/>
      <c r="G1884" s="463"/>
    </row>
    <row r="1885" spans="6:7" ht="12.75">
      <c r="F1885" s="463"/>
      <c r="G1885" s="463"/>
    </row>
    <row r="1886" spans="6:7" ht="12.75">
      <c r="F1886" s="463"/>
      <c r="G1886" s="463"/>
    </row>
    <row r="1887" spans="6:7" ht="12.75">
      <c r="F1887" s="463"/>
      <c r="G1887" s="463"/>
    </row>
    <row r="1888" spans="6:7" ht="12.75">
      <c r="F1888" s="463"/>
      <c r="G1888" s="463"/>
    </row>
    <row r="1889" spans="6:7" ht="12.75">
      <c r="F1889" s="463"/>
      <c r="G1889" s="463"/>
    </row>
    <row r="1890" spans="6:7" ht="12.75">
      <c r="F1890" s="463"/>
      <c r="G1890" s="463"/>
    </row>
    <row r="1891" spans="6:7" ht="12.75">
      <c r="F1891" s="463"/>
      <c r="G1891" s="463"/>
    </row>
    <row r="1892" spans="6:7" ht="12.75">
      <c r="F1892" s="463"/>
      <c r="G1892" s="463"/>
    </row>
    <row r="1893" spans="6:7" ht="12.75">
      <c r="F1893" s="463"/>
      <c r="G1893" s="463"/>
    </row>
    <row r="1894" spans="6:7" ht="12.75">
      <c r="F1894" s="463"/>
      <c r="G1894" s="463"/>
    </row>
    <row r="1895" spans="6:7" ht="12.75">
      <c r="F1895" s="463"/>
      <c r="G1895" s="463"/>
    </row>
    <row r="1896" spans="6:7" ht="12.75">
      <c r="F1896" s="463"/>
      <c r="G1896" s="463"/>
    </row>
    <row r="1897" spans="6:7" ht="12.75">
      <c r="F1897" s="463"/>
      <c r="G1897" s="463"/>
    </row>
    <row r="1898" spans="6:7" ht="12.75">
      <c r="F1898" s="463"/>
      <c r="G1898" s="463"/>
    </row>
    <row r="1899" spans="6:7" ht="12.75">
      <c r="F1899" s="463"/>
      <c r="G1899" s="463"/>
    </row>
    <row r="1900" spans="6:7" ht="12.75">
      <c r="F1900" s="463"/>
      <c r="G1900" s="463"/>
    </row>
    <row r="1901" spans="6:7" ht="12.75">
      <c r="F1901" s="463"/>
      <c r="G1901" s="463"/>
    </row>
    <row r="1902" spans="6:7" ht="12.75">
      <c r="F1902" s="463"/>
      <c r="G1902" s="463"/>
    </row>
    <row r="1903" spans="6:7" ht="12.75">
      <c r="F1903" s="463"/>
      <c r="G1903" s="463"/>
    </row>
    <row r="1904" spans="6:7" ht="12.75">
      <c r="F1904" s="463"/>
      <c r="G1904" s="463"/>
    </row>
    <row r="1905" spans="6:7" ht="12.75">
      <c r="F1905" s="463"/>
      <c r="G1905" s="463"/>
    </row>
    <row r="1906" spans="6:7" ht="12.75">
      <c r="F1906" s="463"/>
      <c r="G1906" s="463"/>
    </row>
    <row r="1907" spans="6:7" ht="12.75">
      <c r="F1907" s="463"/>
      <c r="G1907" s="463"/>
    </row>
    <row r="1908" spans="6:7" ht="12.75">
      <c r="F1908" s="463"/>
      <c r="G1908" s="463"/>
    </row>
    <row r="1909" spans="6:7" ht="12.75">
      <c r="F1909" s="463"/>
      <c r="G1909" s="463"/>
    </row>
    <row r="1910" spans="6:7" ht="12.75">
      <c r="F1910" s="463"/>
      <c r="G1910" s="463"/>
    </row>
    <row r="1911" spans="6:7" ht="12.75">
      <c r="F1911" s="463"/>
      <c r="G1911" s="463"/>
    </row>
    <row r="1912" spans="6:7" ht="12.75">
      <c r="F1912" s="463"/>
      <c r="G1912" s="463"/>
    </row>
    <row r="1913" spans="6:7" ht="12.75">
      <c r="F1913" s="463"/>
      <c r="G1913" s="463"/>
    </row>
    <row r="1914" spans="6:7" ht="12.75">
      <c r="F1914" s="463"/>
      <c r="G1914" s="463"/>
    </row>
    <row r="1915" spans="6:7" ht="12.75">
      <c r="F1915" s="463"/>
      <c r="G1915" s="463"/>
    </row>
    <row r="1916" spans="6:7" ht="12.75">
      <c r="F1916" s="463"/>
      <c r="G1916" s="463"/>
    </row>
    <row r="1917" spans="6:7" ht="12.75">
      <c r="F1917" s="463"/>
      <c r="G1917" s="463"/>
    </row>
    <row r="1918" spans="6:7" ht="12.75">
      <c r="F1918" s="463"/>
      <c r="G1918" s="463"/>
    </row>
    <row r="1919" spans="6:7" ht="12.75">
      <c r="F1919" s="463"/>
      <c r="G1919" s="463"/>
    </row>
    <row r="1920" spans="6:7" ht="12.75">
      <c r="F1920" s="463"/>
      <c r="G1920" s="463"/>
    </row>
    <row r="1921" spans="6:7" ht="12.75">
      <c r="F1921" s="463"/>
      <c r="G1921" s="463"/>
    </row>
    <row r="1922" spans="6:7" ht="12.75">
      <c r="F1922" s="463"/>
      <c r="G1922" s="463"/>
    </row>
    <row r="1923" spans="6:7" ht="12.75">
      <c r="F1923" s="463"/>
      <c r="G1923" s="463"/>
    </row>
    <row r="1924" spans="6:7" ht="12.75">
      <c r="F1924" s="463"/>
      <c r="G1924" s="463"/>
    </row>
    <row r="1925" spans="6:7" ht="12.75">
      <c r="F1925" s="463"/>
      <c r="G1925" s="463"/>
    </row>
    <row r="1926" spans="6:7" ht="12.75">
      <c r="F1926" s="463"/>
      <c r="G1926" s="463"/>
    </row>
    <row r="1927" spans="6:7" ht="12.75">
      <c r="F1927" s="463"/>
      <c r="G1927" s="463"/>
    </row>
    <row r="1928" spans="6:7" ht="12.75">
      <c r="F1928" s="463"/>
      <c r="G1928" s="463"/>
    </row>
    <row r="1929" spans="6:7" ht="12.75">
      <c r="F1929" s="463"/>
      <c r="G1929" s="463"/>
    </row>
    <row r="1930" spans="6:7" ht="12.75">
      <c r="F1930" s="463"/>
      <c r="G1930" s="463"/>
    </row>
    <row r="1931" spans="6:7" ht="12.75">
      <c r="F1931" s="463"/>
      <c r="G1931" s="463"/>
    </row>
    <row r="1932" spans="6:7" ht="12.75">
      <c r="F1932" s="463"/>
      <c r="G1932" s="463"/>
    </row>
    <row r="1933" spans="6:7" ht="12.75">
      <c r="F1933" s="463"/>
      <c r="G1933" s="463"/>
    </row>
    <row r="1934" spans="6:7" ht="12.75">
      <c r="F1934" s="463"/>
      <c r="G1934" s="463"/>
    </row>
    <row r="1935" spans="6:7" ht="12.75">
      <c r="F1935" s="463"/>
      <c r="G1935" s="463"/>
    </row>
    <row r="1936" spans="6:7" ht="12.75">
      <c r="F1936" s="463"/>
      <c r="G1936" s="463"/>
    </row>
    <row r="1937" spans="6:7" ht="12.75">
      <c r="F1937" s="463"/>
      <c r="G1937" s="463"/>
    </row>
    <row r="1938" spans="6:7" ht="12.75">
      <c r="F1938" s="463"/>
      <c r="G1938" s="463"/>
    </row>
    <row r="1939" spans="6:7" ht="12.75">
      <c r="F1939" s="463"/>
      <c r="G1939" s="463"/>
    </row>
    <row r="1940" spans="6:7" ht="12.75">
      <c r="F1940" s="463"/>
      <c r="G1940" s="463"/>
    </row>
    <row r="1941" spans="6:7" ht="12.75">
      <c r="F1941" s="463"/>
      <c r="G1941" s="463"/>
    </row>
    <row r="1942" spans="6:7" ht="12.75">
      <c r="F1942" s="463"/>
      <c r="G1942" s="463"/>
    </row>
    <row r="1943" spans="6:7" ht="12.75">
      <c r="F1943" s="463"/>
      <c r="G1943" s="463"/>
    </row>
    <row r="1944" spans="6:7" ht="12.75">
      <c r="F1944" s="463"/>
      <c r="G1944" s="463"/>
    </row>
    <row r="1945" spans="6:7" ht="12.75">
      <c r="F1945" s="463"/>
      <c r="G1945" s="463"/>
    </row>
    <row r="1946" spans="6:7" ht="12.75">
      <c r="F1946" s="463"/>
      <c r="G1946" s="463"/>
    </row>
    <row r="1947" spans="6:7" ht="12.75">
      <c r="F1947" s="463"/>
      <c r="G1947" s="463"/>
    </row>
    <row r="1948" spans="6:7" ht="12.75">
      <c r="F1948" s="463"/>
      <c r="G1948" s="463"/>
    </row>
    <row r="1949" spans="6:7" ht="12.75">
      <c r="F1949" s="463"/>
      <c r="G1949" s="463"/>
    </row>
    <row r="1950" spans="6:7" ht="12.75">
      <c r="F1950" s="463"/>
      <c r="G1950" s="463"/>
    </row>
    <row r="1951" spans="6:7" ht="12.75">
      <c r="F1951" s="463"/>
      <c r="G1951" s="463"/>
    </row>
    <row r="1952" spans="6:7" ht="12.75">
      <c r="F1952" s="463"/>
      <c r="G1952" s="463"/>
    </row>
    <row r="1953" spans="6:7" ht="12.75">
      <c r="F1953" s="463"/>
      <c r="G1953" s="463"/>
    </row>
    <row r="1954" spans="6:7" ht="12.75">
      <c r="F1954" s="463"/>
      <c r="G1954" s="463"/>
    </row>
    <row r="1955" spans="6:7" ht="12.75">
      <c r="F1955" s="463"/>
      <c r="G1955" s="463"/>
    </row>
    <row r="1956" spans="6:7" ht="12.75">
      <c r="F1956" s="463"/>
      <c r="G1956" s="463"/>
    </row>
    <row r="1957" spans="6:7" ht="12.75">
      <c r="F1957" s="463"/>
      <c r="G1957" s="463"/>
    </row>
    <row r="1958" spans="6:7" ht="12.75">
      <c r="F1958" s="463"/>
      <c r="G1958" s="463"/>
    </row>
    <row r="1959" spans="6:7" ht="12.75">
      <c r="F1959" s="463"/>
      <c r="G1959" s="463"/>
    </row>
    <row r="1960" spans="6:7" ht="12.75">
      <c r="F1960" s="463"/>
      <c r="G1960" s="463"/>
    </row>
    <row r="1961" spans="6:7" ht="12.75">
      <c r="F1961" s="463"/>
      <c r="G1961" s="463"/>
    </row>
    <row r="1962" spans="6:7" ht="12.75">
      <c r="F1962" s="463"/>
      <c r="G1962" s="463"/>
    </row>
    <row r="1963" spans="6:7" ht="12.75">
      <c r="F1963" s="463"/>
      <c r="G1963" s="463"/>
    </row>
    <row r="1964" spans="6:7" ht="12.75">
      <c r="F1964" s="463"/>
      <c r="G1964" s="463"/>
    </row>
    <row r="1965" spans="6:7" ht="12.75">
      <c r="F1965" s="463"/>
      <c r="G1965" s="463"/>
    </row>
    <row r="1966" spans="6:7" ht="12.75">
      <c r="F1966" s="463"/>
      <c r="G1966" s="463"/>
    </row>
    <row r="1967" spans="6:7" ht="12.75">
      <c r="F1967" s="463"/>
      <c r="G1967" s="463"/>
    </row>
    <row r="1968" spans="6:7" ht="12.75">
      <c r="F1968" s="463"/>
      <c r="G1968" s="463"/>
    </row>
    <row r="1969" spans="6:7" ht="12.75">
      <c r="F1969" s="463"/>
      <c r="G1969" s="463"/>
    </row>
    <row r="1970" spans="6:7" ht="12.75">
      <c r="F1970" s="463"/>
      <c r="G1970" s="463"/>
    </row>
    <row r="1971" spans="6:7" ht="12.75">
      <c r="F1971" s="463"/>
      <c r="G1971" s="463"/>
    </row>
    <row r="1972" spans="6:7" ht="12.75">
      <c r="F1972" s="463"/>
      <c r="G1972" s="463"/>
    </row>
    <row r="1973" spans="6:7" ht="12.75">
      <c r="F1973" s="463"/>
      <c r="G1973" s="463"/>
    </row>
    <row r="1974" spans="6:7" ht="12.75">
      <c r="F1974" s="463"/>
      <c r="G1974" s="463"/>
    </row>
    <row r="1975" spans="6:7" ht="12.75">
      <c r="F1975" s="463"/>
      <c r="G1975" s="463"/>
    </row>
    <row r="1976" spans="6:7" ht="12.75">
      <c r="F1976" s="463"/>
      <c r="G1976" s="463"/>
    </row>
    <row r="1977" spans="6:7" ht="12.75">
      <c r="F1977" s="463"/>
      <c r="G1977" s="463"/>
    </row>
    <row r="1978" spans="6:7" ht="12.75">
      <c r="F1978" s="463"/>
      <c r="G1978" s="463"/>
    </row>
    <row r="1979" spans="6:7" ht="12.75">
      <c r="F1979" s="463"/>
      <c r="G1979" s="463"/>
    </row>
    <row r="1980" spans="6:7" ht="12.75">
      <c r="F1980" s="463"/>
      <c r="G1980" s="463"/>
    </row>
    <row r="1981" spans="6:7" ht="12.75">
      <c r="F1981" s="463"/>
      <c r="G1981" s="463"/>
    </row>
    <row r="1982" spans="6:7" ht="12.75">
      <c r="F1982" s="463"/>
      <c r="G1982" s="463"/>
    </row>
    <row r="1983" spans="6:7" ht="12.75">
      <c r="F1983" s="463"/>
      <c r="G1983" s="463"/>
    </row>
    <row r="1984" spans="6:7" ht="12.75">
      <c r="F1984" s="463"/>
      <c r="G1984" s="463"/>
    </row>
    <row r="1985" spans="6:7" ht="12.75">
      <c r="F1985" s="463"/>
      <c r="G1985" s="463"/>
    </row>
    <row r="1986" spans="6:7" ht="12.75">
      <c r="F1986" s="463"/>
      <c r="G1986" s="463"/>
    </row>
    <row r="1987" spans="6:7" ht="12.75">
      <c r="F1987" s="463"/>
      <c r="G1987" s="463"/>
    </row>
    <row r="1988" spans="6:7" ht="12.75">
      <c r="F1988" s="463"/>
      <c r="G1988" s="463"/>
    </row>
    <row r="1989" spans="6:7" ht="12.75">
      <c r="F1989" s="463"/>
      <c r="G1989" s="463"/>
    </row>
    <row r="1990" spans="6:7" ht="12.75">
      <c r="F1990" s="463"/>
      <c r="G1990" s="463"/>
    </row>
    <row r="1991" spans="6:7" ht="12.75">
      <c r="F1991" s="463"/>
      <c r="G1991" s="463"/>
    </row>
    <row r="1992" spans="6:7" ht="12.75">
      <c r="F1992" s="463"/>
      <c r="G1992" s="463"/>
    </row>
    <row r="1993" spans="6:7" ht="12.75">
      <c r="F1993" s="463"/>
      <c r="G1993" s="463"/>
    </row>
    <row r="1994" spans="6:7" ht="12.75">
      <c r="F1994" s="463"/>
      <c r="G1994" s="463"/>
    </row>
    <row r="1995" spans="6:7" ht="12.75">
      <c r="F1995" s="463"/>
      <c r="G1995" s="463"/>
    </row>
    <row r="1996" spans="6:7" ht="12.75">
      <c r="F1996" s="463"/>
      <c r="G1996" s="463"/>
    </row>
    <row r="1997" spans="6:7" ht="12.75">
      <c r="F1997" s="463"/>
      <c r="G1997" s="463"/>
    </row>
    <row r="1998" spans="6:7" ht="12.75">
      <c r="F1998" s="463"/>
      <c r="G1998" s="463"/>
    </row>
    <row r="1999" spans="6:7" ht="12.75">
      <c r="F1999" s="463"/>
      <c r="G1999" s="463"/>
    </row>
    <row r="2000" spans="6:7" ht="12.75">
      <c r="F2000" s="463"/>
      <c r="G2000" s="463"/>
    </row>
    <row r="2001" spans="6:7" ht="12.75">
      <c r="F2001" s="463"/>
      <c r="G2001" s="463"/>
    </row>
    <row r="2002" spans="6:7" ht="12.75">
      <c r="F2002" s="463"/>
      <c r="G2002" s="463"/>
    </row>
    <row r="2003" spans="6:7" ht="12.75">
      <c r="F2003" s="463"/>
      <c r="G2003" s="463"/>
    </row>
    <row r="2004" spans="6:7" ht="12.75">
      <c r="F2004" s="463"/>
      <c r="G2004" s="463"/>
    </row>
    <row r="2005" spans="6:7" ht="12.75">
      <c r="F2005" s="463"/>
      <c r="G2005" s="463"/>
    </row>
    <row r="2006" spans="6:7" ht="12.75">
      <c r="F2006" s="463"/>
      <c r="G2006" s="463"/>
    </row>
    <row r="2007" spans="6:7" ht="12.75">
      <c r="F2007" s="463"/>
      <c r="G2007" s="463"/>
    </row>
    <row r="2008" spans="6:7" ht="12.75">
      <c r="F2008" s="463"/>
      <c r="G2008" s="463"/>
    </row>
    <row r="2009" spans="6:7" ht="12.75">
      <c r="F2009" s="463"/>
      <c r="G2009" s="463"/>
    </row>
    <row r="2010" spans="6:7" ht="12.75">
      <c r="F2010" s="463"/>
      <c r="G2010" s="463"/>
    </row>
    <row r="2011" spans="6:7" ht="12.75">
      <c r="F2011" s="463"/>
      <c r="G2011" s="463"/>
    </row>
    <row r="2012" spans="6:7" ht="12.75">
      <c r="F2012" s="463"/>
      <c r="G2012" s="463"/>
    </row>
    <row r="2013" spans="6:7" ht="12.75">
      <c r="F2013" s="463"/>
      <c r="G2013" s="463"/>
    </row>
    <row r="2014" spans="6:7" ht="12.75">
      <c r="F2014" s="463"/>
      <c r="G2014" s="463"/>
    </row>
    <row r="2015" spans="6:7" ht="12.75">
      <c r="F2015" s="463"/>
      <c r="G2015" s="463"/>
    </row>
    <row r="2016" spans="6:7" ht="12.75">
      <c r="F2016" s="463"/>
      <c r="G2016" s="463"/>
    </row>
    <row r="2017" spans="6:7" ht="12.75">
      <c r="F2017" s="463"/>
      <c r="G2017" s="463"/>
    </row>
    <row r="2018" spans="6:7" ht="12.75">
      <c r="F2018" s="463"/>
      <c r="G2018" s="463"/>
    </row>
    <row r="2019" spans="6:7" ht="12.75">
      <c r="F2019" s="463"/>
      <c r="G2019" s="463"/>
    </row>
    <row r="2020" spans="6:7" ht="12.75">
      <c r="F2020" s="463"/>
      <c r="G2020" s="463"/>
    </row>
    <row r="2021" spans="6:7" ht="12.75">
      <c r="F2021" s="463"/>
      <c r="G2021" s="463"/>
    </row>
    <row r="2022" spans="6:7" ht="12.75">
      <c r="F2022" s="463"/>
      <c r="G2022" s="463"/>
    </row>
    <row r="2023" spans="6:7" ht="12.75">
      <c r="F2023" s="463"/>
      <c r="G2023" s="463"/>
    </row>
    <row r="2024" spans="6:7" ht="12.75">
      <c r="F2024" s="463"/>
      <c r="G2024" s="463"/>
    </row>
    <row r="2025" spans="6:7" ht="12.75">
      <c r="F2025" s="463"/>
      <c r="G2025" s="463"/>
    </row>
    <row r="2026" spans="6:7" ht="12.75">
      <c r="F2026" s="463"/>
      <c r="G2026" s="463"/>
    </row>
    <row r="2027" spans="6:7" ht="12.75">
      <c r="F2027" s="463"/>
      <c r="G2027" s="463"/>
    </row>
    <row r="2028" spans="6:7" ht="12.75">
      <c r="F2028" s="463"/>
      <c r="G2028" s="463"/>
    </row>
    <row r="2029" spans="6:7" ht="12.75">
      <c r="F2029" s="463"/>
      <c r="G2029" s="463"/>
    </row>
    <row r="2030" spans="6:7" ht="12.75">
      <c r="F2030" s="463"/>
      <c r="G2030" s="463"/>
    </row>
    <row r="2031" spans="6:7" ht="12.75">
      <c r="F2031" s="463"/>
      <c r="G2031" s="463"/>
    </row>
    <row r="2032" spans="6:7" ht="12.75">
      <c r="F2032" s="463"/>
      <c r="G2032" s="463"/>
    </row>
    <row r="2033" spans="6:7" ht="12.75">
      <c r="F2033" s="463"/>
      <c r="G2033" s="463"/>
    </row>
    <row r="2034" spans="6:7" ht="12.75">
      <c r="F2034" s="463"/>
      <c r="G2034" s="463"/>
    </row>
    <row r="2035" spans="6:7" ht="12.75">
      <c r="F2035" s="463"/>
      <c r="G2035" s="463"/>
    </row>
    <row r="2036" spans="6:7" ht="12.75">
      <c r="F2036" s="463"/>
      <c r="G2036" s="463"/>
    </row>
    <row r="2037" spans="6:7" ht="12.75">
      <c r="F2037" s="463"/>
      <c r="G2037" s="463"/>
    </row>
    <row r="2038" spans="6:7" ht="12.75">
      <c r="F2038" s="463"/>
      <c r="G2038" s="463"/>
    </row>
    <row r="2039" spans="6:7" ht="12.75">
      <c r="F2039" s="463"/>
      <c r="G2039" s="463"/>
    </row>
    <row r="2040" spans="6:7" ht="12.75">
      <c r="F2040" s="463"/>
      <c r="G2040" s="463"/>
    </row>
    <row r="2041" spans="6:7" ht="12.75">
      <c r="F2041" s="463"/>
      <c r="G2041" s="463"/>
    </row>
    <row r="2042" spans="6:7" ht="12.75">
      <c r="F2042" s="463"/>
      <c r="G2042" s="463"/>
    </row>
    <row r="2043" spans="6:7" ht="12.75">
      <c r="F2043" s="463"/>
      <c r="G2043" s="463"/>
    </row>
    <row r="2044" spans="6:7" ht="12.75">
      <c r="F2044" s="463"/>
      <c r="G2044" s="463"/>
    </row>
    <row r="2045" spans="6:7" ht="12.75">
      <c r="F2045" s="463"/>
      <c r="G2045" s="463"/>
    </row>
    <row r="2046" spans="6:7" ht="12.75">
      <c r="F2046" s="463"/>
      <c r="G2046" s="463"/>
    </row>
    <row r="2047" spans="6:7" ht="12.75">
      <c r="F2047" s="463"/>
      <c r="G2047" s="463"/>
    </row>
    <row r="2048" spans="6:7" ht="12.75">
      <c r="F2048" s="463"/>
      <c r="G2048" s="463"/>
    </row>
    <row r="2049" spans="6:7" ht="12.75">
      <c r="F2049" s="463"/>
      <c r="G2049" s="463"/>
    </row>
    <row r="2050" spans="6:7" ht="12.75">
      <c r="F2050" s="463"/>
      <c r="G2050" s="463"/>
    </row>
    <row r="2051" spans="6:7" ht="12.75">
      <c r="F2051" s="463"/>
      <c r="G2051" s="463"/>
    </row>
    <row r="2052" spans="6:7" ht="12.75">
      <c r="F2052" s="463"/>
      <c r="G2052" s="463"/>
    </row>
    <row r="2053" spans="6:7" ht="12.75">
      <c r="F2053" s="463"/>
      <c r="G2053" s="463"/>
    </row>
    <row r="2054" spans="6:7" ht="12.75">
      <c r="F2054" s="463"/>
      <c r="G2054" s="463"/>
    </row>
    <row r="2055" spans="6:7" ht="12.75">
      <c r="F2055" s="463"/>
      <c r="G2055" s="463"/>
    </row>
    <row r="2056" spans="6:7" ht="12.75">
      <c r="F2056" s="463"/>
      <c r="G2056" s="463"/>
    </row>
    <row r="2057" spans="6:7" ht="12.75">
      <c r="F2057" s="463"/>
      <c r="G2057" s="463"/>
    </row>
    <row r="2058" spans="6:7" ht="12.75">
      <c r="F2058" s="463"/>
      <c r="G2058" s="463"/>
    </row>
    <row r="2059" spans="6:7" ht="12.75">
      <c r="F2059" s="463"/>
      <c r="G2059" s="463"/>
    </row>
    <row r="2060" spans="6:7" ht="12.75">
      <c r="F2060" s="463"/>
      <c r="G2060" s="463"/>
    </row>
    <row r="2061" spans="6:7" ht="12.75">
      <c r="F2061" s="463"/>
      <c r="G2061" s="463"/>
    </row>
    <row r="2062" spans="6:7" ht="12.75">
      <c r="F2062" s="463"/>
      <c r="G2062" s="463"/>
    </row>
    <row r="2063" spans="6:7" ht="12.75">
      <c r="F2063" s="463"/>
      <c r="G2063" s="463"/>
    </row>
    <row r="2064" spans="6:7" ht="12.75">
      <c r="F2064" s="463"/>
      <c r="G2064" s="463"/>
    </row>
    <row r="2065" spans="6:7" ht="12.75">
      <c r="F2065" s="463"/>
      <c r="G2065" s="463"/>
    </row>
    <row r="2066" spans="6:7" ht="12.75">
      <c r="F2066" s="463"/>
      <c r="G2066" s="463"/>
    </row>
    <row r="2067" spans="6:7" ht="12.75">
      <c r="F2067" s="463"/>
      <c r="G2067" s="463"/>
    </row>
    <row r="2068" spans="6:7" ht="12.75">
      <c r="F2068" s="463"/>
      <c r="G2068" s="463"/>
    </row>
    <row r="2069" spans="6:7" ht="12.75">
      <c r="F2069" s="463"/>
      <c r="G2069" s="463"/>
    </row>
    <row r="2070" spans="6:7" ht="12.75">
      <c r="F2070" s="463"/>
      <c r="G2070" s="463"/>
    </row>
    <row r="2071" spans="6:7" ht="12.75">
      <c r="F2071" s="463"/>
      <c r="G2071" s="463"/>
    </row>
    <row r="2072" spans="6:7" ht="12.75">
      <c r="F2072" s="463"/>
      <c r="G2072" s="463"/>
    </row>
    <row r="2073" spans="6:7" ht="12.75">
      <c r="F2073" s="463"/>
      <c r="G2073" s="463"/>
    </row>
    <row r="2074" spans="6:7" ht="12.75">
      <c r="F2074" s="463"/>
      <c r="G2074" s="463"/>
    </row>
    <row r="2075" spans="6:7" ht="12.75">
      <c r="F2075" s="463"/>
      <c r="G2075" s="463"/>
    </row>
    <row r="2076" spans="6:7" ht="12.75">
      <c r="F2076" s="463"/>
      <c r="G2076" s="463"/>
    </row>
    <row r="2077" spans="6:7" ht="12.75">
      <c r="F2077" s="463"/>
      <c r="G2077" s="463"/>
    </row>
    <row r="2078" spans="6:7" ht="12.75">
      <c r="F2078" s="463"/>
      <c r="G2078" s="463"/>
    </row>
    <row r="2079" spans="6:7" ht="12.75">
      <c r="F2079" s="463"/>
      <c r="G2079" s="463"/>
    </row>
    <row r="2080" spans="6:7" ht="12.75">
      <c r="F2080" s="463"/>
      <c r="G2080" s="463"/>
    </row>
    <row r="2081" spans="6:7" ht="12.75">
      <c r="F2081" s="463"/>
      <c r="G2081" s="463"/>
    </row>
    <row r="2082" spans="6:7" ht="12.75">
      <c r="F2082" s="463"/>
      <c r="G2082" s="463"/>
    </row>
    <row r="2083" spans="6:7" ht="12.75">
      <c r="F2083" s="463"/>
      <c r="G2083" s="463"/>
    </row>
    <row r="2084" spans="6:7" ht="12.75">
      <c r="F2084" s="463"/>
      <c r="G2084" s="463"/>
    </row>
    <row r="2085" spans="6:7" ht="12.75">
      <c r="F2085" s="463"/>
      <c r="G2085" s="463"/>
    </row>
    <row r="2086" spans="6:7" ht="12.75">
      <c r="F2086" s="463"/>
      <c r="G2086" s="463"/>
    </row>
    <row r="2087" spans="6:7" ht="12.75">
      <c r="F2087" s="463"/>
      <c r="G2087" s="463"/>
    </row>
    <row r="2088" spans="6:7" ht="12.75">
      <c r="F2088" s="463"/>
      <c r="G2088" s="463"/>
    </row>
    <row r="2089" spans="6:7" ht="12.75">
      <c r="F2089" s="463"/>
      <c r="G2089" s="463"/>
    </row>
    <row r="2090" spans="6:7" ht="12.75">
      <c r="F2090" s="463"/>
      <c r="G2090" s="463"/>
    </row>
    <row r="2091" spans="6:7" ht="12.75">
      <c r="F2091" s="463"/>
      <c r="G2091" s="463"/>
    </row>
    <row r="2092" spans="6:7" ht="12.75">
      <c r="F2092" s="463"/>
      <c r="G2092" s="463"/>
    </row>
    <row r="2093" spans="6:7" ht="12.75">
      <c r="F2093" s="463"/>
      <c r="G2093" s="463"/>
    </row>
    <row r="2094" spans="6:7" ht="12.75">
      <c r="F2094" s="463"/>
      <c r="G2094" s="463"/>
    </row>
    <row r="2095" spans="6:7" ht="12.75">
      <c r="F2095" s="463"/>
      <c r="G2095" s="463"/>
    </row>
    <row r="2096" spans="6:7" ht="12.75">
      <c r="F2096" s="463"/>
      <c r="G2096" s="463"/>
    </row>
    <row r="2097" spans="6:7" ht="12.75">
      <c r="F2097" s="463"/>
      <c r="G2097" s="463"/>
    </row>
    <row r="2098" spans="6:7" ht="12.75">
      <c r="F2098" s="463"/>
      <c r="G2098" s="463"/>
    </row>
    <row r="2099" spans="6:7" ht="12.75">
      <c r="F2099" s="463"/>
      <c r="G2099" s="463"/>
    </row>
    <row r="2100" spans="6:7" ht="12.75">
      <c r="F2100" s="463"/>
      <c r="G2100" s="463"/>
    </row>
    <row r="2101" spans="6:7" ht="12.75">
      <c r="F2101" s="463"/>
      <c r="G2101" s="463"/>
    </row>
    <row r="2102" spans="6:7" ht="12.75">
      <c r="F2102" s="463"/>
      <c r="G2102" s="463"/>
    </row>
    <row r="2103" spans="6:7" ht="12.75">
      <c r="F2103" s="463"/>
      <c r="G2103" s="463"/>
    </row>
    <row r="2104" spans="6:7" ht="12.75">
      <c r="F2104" s="463"/>
      <c r="G2104" s="463"/>
    </row>
    <row r="2105" spans="6:7" ht="12.75">
      <c r="F2105" s="463"/>
      <c r="G2105" s="463"/>
    </row>
    <row r="2106" spans="6:7" ht="12.75">
      <c r="F2106" s="463"/>
      <c r="G2106" s="463"/>
    </row>
    <row r="2107" spans="6:7" ht="12.75">
      <c r="F2107" s="463"/>
      <c r="G2107" s="463"/>
    </row>
    <row r="2108" spans="6:7" ht="12.75">
      <c r="F2108" s="463"/>
      <c r="G2108" s="463"/>
    </row>
    <row r="2109" spans="6:7" ht="12.75">
      <c r="F2109" s="463"/>
      <c r="G2109" s="463"/>
    </row>
    <row r="2110" spans="6:7" ht="12.75">
      <c r="F2110" s="463"/>
      <c r="G2110" s="463"/>
    </row>
    <row r="2111" spans="6:7" ht="12.75">
      <c r="F2111" s="463"/>
      <c r="G2111" s="463"/>
    </row>
    <row r="2112" spans="6:7" ht="12.75">
      <c r="F2112" s="463"/>
      <c r="G2112" s="463"/>
    </row>
    <row r="2113" spans="6:7" ht="12.75">
      <c r="F2113" s="463"/>
      <c r="G2113" s="463"/>
    </row>
    <row r="2114" spans="6:7" ht="12.75">
      <c r="F2114" s="463"/>
      <c r="G2114" s="463"/>
    </row>
    <row r="2115" spans="6:7" ht="12.75">
      <c r="F2115" s="463"/>
      <c r="G2115" s="463"/>
    </row>
    <row r="2116" spans="6:7" ht="12.75">
      <c r="F2116" s="463"/>
      <c r="G2116" s="463"/>
    </row>
    <row r="2117" spans="6:7" ht="12.75">
      <c r="F2117" s="463"/>
      <c r="G2117" s="463"/>
    </row>
    <row r="2118" spans="6:7" ht="12.75">
      <c r="F2118" s="463"/>
      <c r="G2118" s="463"/>
    </row>
    <row r="2119" spans="6:7" ht="12.75">
      <c r="F2119" s="463"/>
      <c r="G2119" s="463"/>
    </row>
    <row r="2120" spans="6:7" ht="12.75">
      <c r="F2120" s="463"/>
      <c r="G2120" s="463"/>
    </row>
    <row r="2121" spans="6:7" ht="12.75">
      <c r="F2121" s="463"/>
      <c r="G2121" s="463"/>
    </row>
    <row r="2122" spans="6:7" ht="12.75">
      <c r="F2122" s="463"/>
      <c r="G2122" s="463"/>
    </row>
    <row r="2123" spans="6:7" ht="12.75">
      <c r="F2123" s="463"/>
      <c r="G2123" s="463"/>
    </row>
    <row r="2124" spans="6:7" ht="12.75">
      <c r="F2124" s="463"/>
      <c r="G2124" s="463"/>
    </row>
    <row r="2125" spans="6:7" ht="12.75">
      <c r="F2125" s="463"/>
      <c r="G2125" s="463"/>
    </row>
    <row r="2126" spans="6:7" ht="12.75">
      <c r="F2126" s="463"/>
      <c r="G2126" s="463"/>
    </row>
    <row r="2127" spans="6:7" ht="12.75">
      <c r="F2127" s="463"/>
      <c r="G2127" s="463"/>
    </row>
    <row r="2128" spans="6:7" ht="12.75">
      <c r="F2128" s="463"/>
      <c r="G2128" s="463"/>
    </row>
    <row r="2129" spans="6:7" ht="12.75">
      <c r="F2129" s="463"/>
      <c r="G2129" s="463"/>
    </row>
    <row r="2130" spans="6:7" ht="12.75">
      <c r="F2130" s="463"/>
      <c r="G2130" s="463"/>
    </row>
    <row r="2131" spans="6:7" ht="12.75">
      <c r="F2131" s="463"/>
      <c r="G2131" s="463"/>
    </row>
    <row r="2132" spans="6:7" ht="12.75">
      <c r="F2132" s="463"/>
      <c r="G2132" s="463"/>
    </row>
    <row r="2133" spans="6:7" ht="12.75">
      <c r="F2133" s="463"/>
      <c r="G2133" s="463"/>
    </row>
    <row r="2134" spans="6:7" ht="12.75">
      <c r="F2134" s="463"/>
      <c r="G2134" s="463"/>
    </row>
    <row r="2135" spans="6:7" ht="12.75">
      <c r="F2135" s="463"/>
      <c r="G2135" s="463"/>
    </row>
    <row r="2136" spans="6:7" ht="12.75">
      <c r="F2136" s="463"/>
      <c r="G2136" s="463"/>
    </row>
    <row r="2137" spans="6:7" ht="12.75">
      <c r="F2137" s="463"/>
      <c r="G2137" s="463"/>
    </row>
    <row r="2138" spans="6:7" ht="12.75">
      <c r="F2138" s="463"/>
      <c r="G2138" s="463"/>
    </row>
    <row r="2139" spans="6:7" ht="12.75">
      <c r="F2139" s="463"/>
      <c r="G2139" s="463"/>
    </row>
    <row r="2140" spans="6:7" ht="12.75">
      <c r="F2140" s="463"/>
      <c r="G2140" s="463"/>
    </row>
    <row r="2141" spans="6:7" ht="12.75">
      <c r="F2141" s="463"/>
      <c r="G2141" s="463"/>
    </row>
    <row r="2142" spans="6:7" ht="12.75">
      <c r="F2142" s="463"/>
      <c r="G2142" s="463"/>
    </row>
    <row r="2143" spans="6:7" ht="12.75">
      <c r="F2143" s="463"/>
      <c r="G2143" s="463"/>
    </row>
    <row r="2144" spans="6:7" ht="12.75">
      <c r="F2144" s="463"/>
      <c r="G2144" s="463"/>
    </row>
    <row r="2145" spans="6:7" ht="12.75">
      <c r="F2145" s="463"/>
      <c r="G2145" s="463"/>
    </row>
    <row r="2146" spans="6:7" ht="12.75">
      <c r="F2146" s="463"/>
      <c r="G2146" s="463"/>
    </row>
    <row r="2147" spans="6:7" ht="12.75">
      <c r="F2147" s="463"/>
      <c r="G2147" s="463"/>
    </row>
    <row r="2148" spans="6:7" ht="12.75">
      <c r="F2148" s="463"/>
      <c r="G2148" s="463"/>
    </row>
    <row r="2149" spans="6:7" ht="12.75">
      <c r="F2149" s="463"/>
      <c r="G2149" s="463"/>
    </row>
    <row r="2150" spans="6:7" ht="12.75">
      <c r="F2150" s="463"/>
      <c r="G2150" s="463"/>
    </row>
    <row r="2151" spans="6:7" ht="12.75">
      <c r="F2151" s="463"/>
      <c r="G2151" s="463"/>
    </row>
    <row r="2152" spans="6:7" ht="12.75">
      <c r="F2152" s="463"/>
      <c r="G2152" s="463"/>
    </row>
    <row r="2153" spans="6:7" ht="12.75">
      <c r="F2153" s="463"/>
      <c r="G2153" s="463"/>
    </row>
    <row r="2154" spans="6:7" ht="12.75">
      <c r="F2154" s="463"/>
      <c r="G2154" s="463"/>
    </row>
    <row r="2155" spans="6:7" ht="12.75">
      <c r="F2155" s="463"/>
      <c r="G2155" s="463"/>
    </row>
    <row r="2156" spans="6:7" ht="12.75">
      <c r="F2156" s="463"/>
      <c r="G2156" s="463"/>
    </row>
    <row r="2157" spans="6:7" ht="12.75">
      <c r="F2157" s="463"/>
      <c r="G2157" s="463"/>
    </row>
    <row r="2158" spans="6:7" ht="12.75">
      <c r="F2158" s="463"/>
      <c r="G2158" s="463"/>
    </row>
    <row r="2159" spans="6:7" ht="12.75">
      <c r="F2159" s="463"/>
      <c r="G2159" s="463"/>
    </row>
    <row r="2160" spans="6:7" ht="12.75">
      <c r="F2160" s="463"/>
      <c r="G2160" s="463"/>
    </row>
    <row r="2161" spans="6:7" ht="12.75">
      <c r="F2161" s="463"/>
      <c r="G2161" s="463"/>
    </row>
    <row r="2162" spans="6:7" ht="12.75">
      <c r="F2162" s="463"/>
      <c r="G2162" s="463"/>
    </row>
    <row r="2163" spans="6:7" ht="12.75">
      <c r="F2163" s="463"/>
      <c r="G2163" s="463"/>
    </row>
    <row r="2164" spans="6:7" ht="12.75">
      <c r="F2164" s="463"/>
      <c r="G2164" s="463"/>
    </row>
    <row r="2165" spans="6:7" ht="12.75">
      <c r="F2165" s="463"/>
      <c r="G2165" s="463"/>
    </row>
    <row r="2166" spans="6:7" ht="12.75">
      <c r="F2166" s="463"/>
      <c r="G2166" s="463"/>
    </row>
    <row r="2167" spans="6:7" ht="12.75">
      <c r="F2167" s="463"/>
      <c r="G2167" s="463"/>
    </row>
    <row r="2168" spans="6:7" ht="12.75">
      <c r="F2168" s="463"/>
      <c r="G2168" s="463"/>
    </row>
    <row r="2169" spans="6:7" ht="12.75">
      <c r="F2169" s="463"/>
      <c r="G2169" s="463"/>
    </row>
    <row r="2170" spans="6:7" ht="12.75">
      <c r="F2170" s="463"/>
      <c r="G2170" s="463"/>
    </row>
    <row r="2171" spans="6:7" ht="12.75">
      <c r="F2171" s="463"/>
      <c r="G2171" s="463"/>
    </row>
    <row r="2172" spans="6:7" ht="12.75">
      <c r="F2172" s="463"/>
      <c r="G2172" s="463"/>
    </row>
    <row r="2173" spans="6:7" ht="12.75">
      <c r="F2173" s="463"/>
      <c r="G2173" s="463"/>
    </row>
    <row r="2174" spans="6:7" ht="12.75">
      <c r="F2174" s="463"/>
      <c r="G2174" s="463"/>
    </row>
    <row r="2175" spans="6:7" ht="12.75">
      <c r="F2175" s="463"/>
      <c r="G2175" s="463"/>
    </row>
    <row r="2176" spans="6:7" ht="12.75">
      <c r="F2176" s="463"/>
      <c r="G2176" s="463"/>
    </row>
    <row r="2177" spans="6:7" ht="12.75">
      <c r="F2177" s="463"/>
      <c r="G2177" s="463"/>
    </row>
    <row r="2178" spans="6:7" ht="12.75">
      <c r="F2178" s="463"/>
      <c r="G2178" s="463"/>
    </row>
    <row r="2179" spans="6:7" ht="12.75">
      <c r="F2179" s="463"/>
      <c r="G2179" s="463"/>
    </row>
    <row r="2180" spans="6:7" ht="12.75">
      <c r="F2180" s="463"/>
      <c r="G2180" s="463"/>
    </row>
    <row r="2181" spans="6:7" ht="12.75">
      <c r="F2181" s="463"/>
      <c r="G2181" s="463"/>
    </row>
    <row r="2182" spans="6:7" ht="12.75">
      <c r="F2182" s="463"/>
      <c r="G2182" s="463"/>
    </row>
    <row r="2183" spans="6:7" ht="12.75">
      <c r="F2183" s="463"/>
      <c r="G2183" s="463"/>
    </row>
    <row r="2184" spans="6:7" ht="12.75">
      <c r="F2184" s="463"/>
      <c r="G2184" s="463"/>
    </row>
    <row r="2185" spans="6:7" ht="12.75">
      <c r="F2185" s="463"/>
      <c r="G2185" s="463"/>
    </row>
    <row r="2186" spans="6:7" ht="12.75">
      <c r="F2186" s="463"/>
      <c r="G2186" s="463"/>
    </row>
    <row r="2187" spans="6:7" ht="12.75">
      <c r="F2187" s="463"/>
      <c r="G2187" s="463"/>
    </row>
    <row r="2188" spans="6:7" ht="12.75">
      <c r="F2188" s="463"/>
      <c r="G2188" s="463"/>
    </row>
    <row r="2189" spans="6:7" ht="12.75">
      <c r="F2189" s="463"/>
      <c r="G2189" s="463"/>
    </row>
    <row r="2190" spans="6:7" ht="12.75">
      <c r="F2190" s="463"/>
      <c r="G2190" s="463"/>
    </row>
    <row r="2191" spans="6:7" ht="12.75">
      <c r="F2191" s="463"/>
      <c r="G2191" s="463"/>
    </row>
    <row r="2192" spans="6:7" ht="12.75">
      <c r="F2192" s="463"/>
      <c r="G2192" s="463"/>
    </row>
    <row r="2193" spans="6:7" ht="12.75">
      <c r="F2193" s="463"/>
      <c r="G2193" s="463"/>
    </row>
    <row r="2194" spans="6:7" ht="12.75">
      <c r="F2194" s="463"/>
      <c r="G2194" s="463"/>
    </row>
    <row r="2195" spans="6:7" ht="12.75">
      <c r="F2195" s="463"/>
      <c r="G2195" s="463"/>
    </row>
    <row r="2196" spans="6:7" ht="12.75">
      <c r="F2196" s="463"/>
      <c r="G2196" s="463"/>
    </row>
    <row r="2197" spans="6:7" ht="12.75">
      <c r="F2197" s="463"/>
      <c r="G2197" s="463"/>
    </row>
    <row r="2198" spans="6:7" ht="12.75">
      <c r="F2198" s="463"/>
      <c r="G2198" s="463"/>
    </row>
    <row r="2199" spans="6:7" ht="12.75">
      <c r="F2199" s="463"/>
      <c r="G2199" s="463"/>
    </row>
    <row r="2200" spans="6:7" ht="12.75">
      <c r="F2200" s="463"/>
      <c r="G2200" s="463"/>
    </row>
    <row r="2201" spans="6:7" ht="12.75">
      <c r="F2201" s="463"/>
      <c r="G2201" s="463"/>
    </row>
    <row r="2202" spans="6:7" ht="12.75">
      <c r="F2202" s="463"/>
      <c r="G2202" s="463"/>
    </row>
    <row r="2203" spans="6:7" ht="12.75">
      <c r="F2203" s="463"/>
      <c r="G2203" s="463"/>
    </row>
    <row r="2204" spans="6:7" ht="12.75">
      <c r="F2204" s="463"/>
      <c r="G2204" s="463"/>
    </row>
    <row r="2205" spans="6:7" ht="12.75">
      <c r="F2205" s="463"/>
      <c r="G2205" s="463"/>
    </row>
    <row r="2206" spans="6:7" ht="12.75">
      <c r="F2206" s="463"/>
      <c r="G2206" s="463"/>
    </row>
    <row r="2207" spans="6:7" ht="12.75">
      <c r="F2207" s="463"/>
      <c r="G2207" s="463"/>
    </row>
    <row r="2208" spans="6:7" ht="12.75">
      <c r="F2208" s="463"/>
      <c r="G2208" s="463"/>
    </row>
    <row r="2209" spans="6:7" ht="12.75">
      <c r="F2209" s="463"/>
      <c r="G2209" s="463"/>
    </row>
    <row r="2210" spans="6:7" ht="12.75">
      <c r="F2210" s="463"/>
      <c r="G2210" s="463"/>
    </row>
    <row r="2211" spans="6:7" ht="12.75">
      <c r="F2211" s="463"/>
      <c r="G2211" s="463"/>
    </row>
    <row r="2212" spans="6:7" ht="12.75">
      <c r="F2212" s="463"/>
      <c r="G2212" s="463"/>
    </row>
    <row r="2213" spans="6:7" ht="12.75">
      <c r="F2213" s="463"/>
      <c r="G2213" s="463"/>
    </row>
    <row r="2214" spans="6:7" ht="12.75">
      <c r="F2214" s="463"/>
      <c r="G2214" s="463"/>
    </row>
    <row r="2215" spans="6:7" ht="12.75">
      <c r="F2215" s="463"/>
      <c r="G2215" s="463"/>
    </row>
    <row r="2216" spans="6:7" ht="12.75">
      <c r="F2216" s="463"/>
      <c r="G2216" s="463"/>
    </row>
    <row r="2217" spans="6:7" ht="12.75">
      <c r="F2217" s="463"/>
      <c r="G2217" s="463"/>
    </row>
    <row r="2218" spans="6:7" ht="12.75">
      <c r="F2218" s="463"/>
      <c r="G2218" s="463"/>
    </row>
    <row r="2219" spans="6:7" ht="12.75">
      <c r="F2219" s="463"/>
      <c r="G2219" s="463"/>
    </row>
    <row r="2220" spans="6:7" ht="12.75">
      <c r="F2220" s="463"/>
      <c r="G2220" s="463"/>
    </row>
    <row r="2221" spans="6:7" ht="12.75">
      <c r="F2221" s="463"/>
      <c r="G2221" s="463"/>
    </row>
    <row r="2222" spans="6:7" ht="12.75">
      <c r="F2222" s="463"/>
      <c r="G2222" s="463"/>
    </row>
    <row r="2223" spans="6:7" ht="12.75">
      <c r="F2223" s="463"/>
      <c r="G2223" s="463"/>
    </row>
    <row r="2224" spans="6:7" ht="12.75">
      <c r="F2224" s="463"/>
      <c r="G2224" s="463"/>
    </row>
    <row r="2225" spans="6:7" ht="12.75">
      <c r="F2225" s="463"/>
      <c r="G2225" s="463"/>
    </row>
    <row r="2226" spans="6:7" ht="12.75">
      <c r="F2226" s="463"/>
      <c r="G2226" s="463"/>
    </row>
    <row r="2227" spans="6:7" ht="12.75">
      <c r="F2227" s="463"/>
      <c r="G2227" s="463"/>
    </row>
    <row r="2228" spans="6:7" ht="12.75">
      <c r="F2228" s="463"/>
      <c r="G2228" s="463"/>
    </row>
    <row r="2229" spans="6:7" ht="12.75">
      <c r="F2229" s="463"/>
      <c r="G2229" s="463"/>
    </row>
    <row r="2230" spans="6:7" ht="12.75">
      <c r="F2230" s="463"/>
      <c r="G2230" s="463"/>
    </row>
    <row r="2231" spans="6:7" ht="12.75">
      <c r="F2231" s="463"/>
      <c r="G2231" s="463"/>
    </row>
    <row r="2232" spans="6:7" ht="12.75">
      <c r="F2232" s="463"/>
      <c r="G2232" s="463"/>
    </row>
    <row r="2233" spans="6:7" ht="12.75">
      <c r="F2233" s="463"/>
      <c r="G2233" s="463"/>
    </row>
    <row r="2234" spans="6:7" ht="12.75">
      <c r="F2234" s="463"/>
      <c r="G2234" s="463"/>
    </row>
    <row r="2235" spans="6:7" ht="12.75">
      <c r="F2235" s="463"/>
      <c r="G2235" s="463"/>
    </row>
    <row r="2236" spans="6:7" ht="12.75">
      <c r="F2236" s="463"/>
      <c r="G2236" s="463"/>
    </row>
    <row r="2237" spans="6:7" ht="12.75">
      <c r="F2237" s="463"/>
      <c r="G2237" s="463"/>
    </row>
    <row r="2238" spans="6:7" ht="12.75">
      <c r="F2238" s="463"/>
      <c r="G2238" s="463"/>
    </row>
    <row r="2239" spans="6:7" ht="12.75">
      <c r="F2239" s="463"/>
      <c r="G2239" s="463"/>
    </row>
    <row r="2240" spans="6:7" ht="12.75">
      <c r="F2240" s="463"/>
      <c r="G2240" s="463"/>
    </row>
    <row r="2241" spans="6:7" ht="12.75">
      <c r="F2241" s="463"/>
      <c r="G2241" s="463"/>
    </row>
    <row r="2242" spans="6:7" ht="12.75">
      <c r="F2242" s="463"/>
      <c r="G2242" s="463"/>
    </row>
    <row r="2243" spans="6:7" ht="12.75">
      <c r="F2243" s="463"/>
      <c r="G2243" s="463"/>
    </row>
    <row r="2244" spans="6:7" ht="12.75">
      <c r="F2244" s="463"/>
      <c r="G2244" s="463"/>
    </row>
    <row r="2245" spans="6:7" ht="12.75">
      <c r="F2245" s="463"/>
      <c r="G2245" s="463"/>
    </row>
    <row r="2246" spans="6:7" ht="12.75">
      <c r="F2246" s="463"/>
      <c r="G2246" s="463"/>
    </row>
    <row r="2247" spans="6:7" ht="12.75">
      <c r="F2247" s="463"/>
      <c r="G2247" s="463"/>
    </row>
    <row r="2248" spans="6:7" ht="12.75">
      <c r="F2248" s="463"/>
      <c r="G2248" s="463"/>
    </row>
    <row r="2249" spans="6:7" ht="12.75">
      <c r="F2249" s="463"/>
      <c r="G2249" s="463"/>
    </row>
    <row r="2250" spans="6:7" ht="12.75">
      <c r="F2250" s="463"/>
      <c r="G2250" s="463"/>
    </row>
    <row r="2251" spans="6:7" ht="12.75">
      <c r="F2251" s="463"/>
      <c r="G2251" s="463"/>
    </row>
    <row r="2252" spans="6:7" ht="12.75">
      <c r="F2252" s="463"/>
      <c r="G2252" s="463"/>
    </row>
    <row r="2253" spans="6:7" ht="12.75">
      <c r="F2253" s="463"/>
      <c r="G2253" s="463"/>
    </row>
    <row r="2254" spans="6:7" ht="12.75">
      <c r="F2254" s="463"/>
      <c r="G2254" s="463"/>
    </row>
    <row r="2255" spans="6:7" ht="12.75">
      <c r="F2255" s="463"/>
      <c r="G2255" s="463"/>
    </row>
    <row r="2256" spans="6:7" ht="12.75">
      <c r="F2256" s="463"/>
      <c r="G2256" s="463"/>
    </row>
    <row r="2257" spans="6:7" ht="12.75">
      <c r="F2257" s="463"/>
      <c r="G2257" s="463"/>
    </row>
    <row r="2258" spans="6:7" ht="12.75">
      <c r="F2258" s="463"/>
      <c r="G2258" s="463"/>
    </row>
    <row r="2259" spans="6:7" ht="12.75">
      <c r="F2259" s="463"/>
      <c r="G2259" s="463"/>
    </row>
    <row r="2260" spans="6:7" ht="12.75">
      <c r="F2260" s="463"/>
      <c r="G2260" s="463"/>
    </row>
    <row r="2261" spans="6:7" ht="12.75">
      <c r="F2261" s="463"/>
      <c r="G2261" s="463"/>
    </row>
    <row r="2262" spans="6:7" ht="12.75">
      <c r="F2262" s="463"/>
      <c r="G2262" s="463"/>
    </row>
    <row r="2263" spans="6:7" ht="12.75">
      <c r="F2263" s="463"/>
      <c r="G2263" s="463"/>
    </row>
    <row r="2264" spans="6:7" ht="12.75">
      <c r="F2264" s="463"/>
      <c r="G2264" s="463"/>
    </row>
    <row r="2265" spans="6:7" ht="12.75">
      <c r="F2265" s="463"/>
      <c r="G2265" s="463"/>
    </row>
    <row r="2266" spans="6:7" ht="12.75">
      <c r="F2266" s="463"/>
      <c r="G2266" s="463"/>
    </row>
    <row r="2267" spans="6:7" ht="12.75">
      <c r="F2267" s="463"/>
      <c r="G2267" s="463"/>
    </row>
    <row r="2268" spans="6:7" ht="12.75">
      <c r="F2268" s="463"/>
      <c r="G2268" s="463"/>
    </row>
    <row r="2269" spans="6:7" ht="12.75">
      <c r="F2269" s="463"/>
      <c r="G2269" s="463"/>
    </row>
    <row r="2270" spans="6:7" ht="12.75">
      <c r="F2270" s="463"/>
      <c r="G2270" s="463"/>
    </row>
    <row r="2271" spans="6:7" ht="12.75">
      <c r="F2271" s="463"/>
      <c r="G2271" s="463"/>
    </row>
    <row r="2272" spans="6:7" ht="12.75">
      <c r="F2272" s="463"/>
      <c r="G2272" s="463"/>
    </row>
    <row r="2273" spans="6:7" ht="12.75">
      <c r="F2273" s="463"/>
      <c r="G2273" s="463"/>
    </row>
    <row r="2274" spans="6:7" ht="12.75">
      <c r="F2274" s="463"/>
      <c r="G2274" s="463"/>
    </row>
    <row r="2275" spans="6:7" ht="12.75">
      <c r="F2275" s="463"/>
      <c r="G2275" s="463"/>
    </row>
    <row r="2276" spans="6:7" ht="12.75">
      <c r="F2276" s="463"/>
      <c r="G2276" s="463"/>
    </row>
    <row r="2277" spans="6:7" ht="12.75">
      <c r="F2277" s="463"/>
      <c r="G2277" s="463"/>
    </row>
    <row r="2278" spans="6:7" ht="12.75">
      <c r="F2278" s="463"/>
      <c r="G2278" s="463"/>
    </row>
    <row r="2279" spans="6:7" ht="12.75">
      <c r="F2279" s="463"/>
      <c r="G2279" s="463"/>
    </row>
    <row r="2280" spans="6:7" ht="12.75">
      <c r="F2280" s="463"/>
      <c r="G2280" s="463"/>
    </row>
    <row r="2281" spans="6:7" ht="12.75">
      <c r="F2281" s="463"/>
      <c r="G2281" s="463"/>
    </row>
    <row r="2282" spans="6:7" ht="12.75">
      <c r="F2282" s="463"/>
      <c r="G2282" s="463"/>
    </row>
    <row r="2283" spans="6:7" ht="12.75">
      <c r="F2283" s="463"/>
      <c r="G2283" s="463"/>
    </row>
    <row r="2284" spans="6:7" ht="12.75">
      <c r="F2284" s="463"/>
      <c r="G2284" s="463"/>
    </row>
    <row r="2285" spans="6:7" ht="12.75">
      <c r="F2285" s="463"/>
      <c r="G2285" s="463"/>
    </row>
    <row r="2286" spans="6:7" ht="12.75">
      <c r="F2286" s="463"/>
      <c r="G2286" s="463"/>
    </row>
    <row r="2287" spans="6:7" ht="12.75">
      <c r="F2287" s="463"/>
      <c r="G2287" s="463"/>
    </row>
    <row r="2288" spans="6:7" ht="12.75">
      <c r="F2288" s="463"/>
      <c r="G2288" s="463"/>
    </row>
    <row r="2289" spans="6:7" ht="12.75">
      <c r="F2289" s="463"/>
      <c r="G2289" s="463"/>
    </row>
    <row r="2290" spans="6:7" ht="12.75">
      <c r="F2290" s="463"/>
      <c r="G2290" s="463"/>
    </row>
    <row r="2291" spans="6:7" ht="12.75">
      <c r="F2291" s="463"/>
      <c r="G2291" s="463"/>
    </row>
    <row r="2292" spans="6:7" ht="12.75">
      <c r="F2292" s="463"/>
      <c r="G2292" s="463"/>
    </row>
    <row r="2293" spans="6:7" ht="12.75">
      <c r="F2293" s="463"/>
      <c r="G2293" s="463"/>
    </row>
    <row r="2294" spans="6:7" ht="12.75">
      <c r="F2294" s="463"/>
      <c r="G2294" s="463"/>
    </row>
    <row r="2295" spans="6:7" ht="12.75">
      <c r="F2295" s="463"/>
      <c r="G2295" s="463"/>
    </row>
    <row r="2296" spans="6:7" ht="12.75">
      <c r="F2296" s="463"/>
      <c r="G2296" s="463"/>
    </row>
    <row r="2297" spans="6:7" ht="12.75">
      <c r="F2297" s="463"/>
      <c r="G2297" s="463"/>
    </row>
    <row r="2298" spans="6:7" ht="12.75">
      <c r="F2298" s="463"/>
      <c r="G2298" s="463"/>
    </row>
    <row r="2299" spans="6:7" ht="12.75">
      <c r="F2299" s="463"/>
      <c r="G2299" s="463"/>
    </row>
    <row r="2300" spans="6:7" ht="12.75">
      <c r="F2300" s="463"/>
      <c r="G2300" s="463"/>
    </row>
    <row r="2301" spans="6:7" ht="12.75">
      <c r="F2301" s="463"/>
      <c r="G2301" s="463"/>
    </row>
    <row r="2302" spans="6:7" ht="12.75">
      <c r="F2302" s="463"/>
      <c r="G2302" s="463"/>
    </row>
    <row r="2303" spans="6:7" ht="12.75">
      <c r="F2303" s="463"/>
      <c r="G2303" s="463"/>
    </row>
    <row r="2304" spans="6:7" ht="12.75">
      <c r="F2304" s="463"/>
      <c r="G2304" s="463"/>
    </row>
    <row r="2305" spans="6:7" ht="12.75">
      <c r="F2305" s="463"/>
      <c r="G2305" s="463"/>
    </row>
    <row r="2306" spans="6:7" ht="12.75">
      <c r="F2306" s="463"/>
      <c r="G2306" s="463"/>
    </row>
    <row r="2307" spans="6:7" ht="12.75">
      <c r="F2307" s="463"/>
      <c r="G2307" s="463"/>
    </row>
    <row r="2308" spans="6:7" ht="12.75">
      <c r="F2308" s="463"/>
      <c r="G2308" s="463"/>
    </row>
    <row r="2309" spans="6:7" ht="12.75">
      <c r="F2309" s="463"/>
      <c r="G2309" s="463"/>
    </row>
    <row r="2310" spans="6:7" ht="12.75">
      <c r="F2310" s="463"/>
      <c r="G2310" s="463"/>
    </row>
    <row r="2311" spans="6:7" ht="12.75">
      <c r="F2311" s="463"/>
      <c r="G2311" s="463"/>
    </row>
    <row r="2312" spans="6:7" ht="12.75">
      <c r="F2312" s="463"/>
      <c r="G2312" s="463"/>
    </row>
    <row r="2313" spans="6:7" ht="12.75">
      <c r="F2313" s="463"/>
      <c r="G2313" s="463"/>
    </row>
    <row r="2314" spans="6:7" ht="12.75">
      <c r="F2314" s="463"/>
      <c r="G2314" s="463"/>
    </row>
    <row r="2315" spans="6:7" ht="12.75">
      <c r="F2315" s="463"/>
      <c r="G2315" s="463"/>
    </row>
    <row r="2316" spans="6:7" ht="12.75">
      <c r="F2316" s="463"/>
      <c r="G2316" s="463"/>
    </row>
    <row r="2317" spans="6:7" ht="12.75">
      <c r="F2317" s="463"/>
      <c r="G2317" s="463"/>
    </row>
    <row r="2318" spans="6:7" ht="12.75">
      <c r="F2318" s="463"/>
      <c r="G2318" s="463"/>
    </row>
    <row r="2319" spans="6:7" ht="12.75">
      <c r="F2319" s="463"/>
      <c r="G2319" s="463"/>
    </row>
    <row r="2320" spans="6:7" ht="12.75">
      <c r="F2320" s="463"/>
      <c r="G2320" s="463"/>
    </row>
    <row r="2321" spans="6:7" ht="12.75">
      <c r="F2321" s="463"/>
      <c r="G2321" s="463"/>
    </row>
    <row r="2322" spans="6:7" ht="12.75">
      <c r="F2322" s="463"/>
      <c r="G2322" s="463"/>
    </row>
    <row r="2323" spans="6:7" ht="12.75">
      <c r="F2323" s="463"/>
      <c r="G2323" s="463"/>
    </row>
    <row r="2324" spans="6:7" ht="12.75">
      <c r="F2324" s="463"/>
      <c r="G2324" s="463"/>
    </row>
    <row r="2325" spans="6:7" ht="12.75">
      <c r="F2325" s="463"/>
      <c r="G2325" s="463"/>
    </row>
    <row r="2326" spans="6:7" ht="12.75">
      <c r="F2326" s="463"/>
      <c r="G2326" s="463"/>
    </row>
    <row r="2327" spans="6:7" ht="12.75">
      <c r="F2327" s="463"/>
      <c r="G2327" s="463"/>
    </row>
    <row r="2328" spans="6:7" ht="12.75">
      <c r="F2328" s="463"/>
      <c r="G2328" s="463"/>
    </row>
    <row r="2329" spans="6:7" ht="12.75">
      <c r="F2329" s="463"/>
      <c r="G2329" s="463"/>
    </row>
    <row r="2330" spans="6:7" ht="12.75">
      <c r="F2330" s="463"/>
      <c r="G2330" s="463"/>
    </row>
    <row r="2331" spans="6:7" ht="12.75">
      <c r="F2331" s="463"/>
      <c r="G2331" s="463"/>
    </row>
    <row r="2332" spans="6:7" ht="12.75">
      <c r="F2332" s="463"/>
      <c r="G2332" s="463"/>
    </row>
    <row r="2333" spans="6:7" ht="12.75">
      <c r="F2333" s="463"/>
      <c r="G2333" s="463"/>
    </row>
    <row r="2334" spans="6:7" ht="12.75">
      <c r="F2334" s="463"/>
      <c r="G2334" s="463"/>
    </row>
    <row r="2335" spans="6:7" ht="12.75">
      <c r="F2335" s="463"/>
      <c r="G2335" s="463"/>
    </row>
    <row r="2336" spans="6:7" ht="12.75">
      <c r="F2336" s="463"/>
      <c r="G2336" s="463"/>
    </row>
    <row r="2337" spans="6:7" ht="12.75">
      <c r="F2337" s="463"/>
      <c r="G2337" s="463"/>
    </row>
    <row r="2338" spans="6:7" ht="12.75">
      <c r="F2338" s="463"/>
      <c r="G2338" s="463"/>
    </row>
    <row r="2339" spans="6:7" ht="12.75">
      <c r="F2339" s="463"/>
      <c r="G2339" s="463"/>
    </row>
    <row r="2340" spans="6:7" ht="12.75">
      <c r="F2340" s="463"/>
      <c r="G2340" s="463"/>
    </row>
    <row r="2341" spans="6:7" ht="12.75">
      <c r="F2341" s="463"/>
      <c r="G2341" s="463"/>
    </row>
    <row r="2342" spans="6:7" ht="12.75">
      <c r="F2342" s="463"/>
      <c r="G2342" s="463"/>
    </row>
    <row r="2343" spans="6:7" ht="12.75">
      <c r="F2343" s="463"/>
      <c r="G2343" s="463"/>
    </row>
    <row r="2344" spans="6:7" ht="12.75">
      <c r="F2344" s="463"/>
      <c r="G2344" s="463"/>
    </row>
    <row r="2345" spans="6:7" ht="12.75">
      <c r="F2345" s="463"/>
      <c r="G2345" s="463"/>
    </row>
    <row r="2346" spans="6:7" ht="12.75">
      <c r="F2346" s="463"/>
      <c r="G2346" s="463"/>
    </row>
    <row r="2347" spans="6:7" ht="12.75">
      <c r="F2347" s="463"/>
      <c r="G2347" s="463"/>
    </row>
    <row r="2348" spans="6:7" ht="12.75">
      <c r="F2348" s="463"/>
      <c r="G2348" s="463"/>
    </row>
    <row r="2349" spans="6:7" ht="12.75">
      <c r="F2349" s="463"/>
      <c r="G2349" s="463"/>
    </row>
    <row r="2350" spans="6:7" ht="12.75">
      <c r="F2350" s="463"/>
      <c r="G2350" s="463"/>
    </row>
    <row r="2351" spans="6:7" ht="12.75">
      <c r="F2351" s="463"/>
      <c r="G2351" s="463"/>
    </row>
    <row r="2352" spans="6:7" ht="12.75">
      <c r="F2352" s="463"/>
      <c r="G2352" s="463"/>
    </row>
    <row r="2353" spans="6:7" ht="12.75">
      <c r="F2353" s="463"/>
      <c r="G2353" s="463"/>
    </row>
    <row r="2354" spans="6:7" ht="12.75">
      <c r="F2354" s="463"/>
      <c r="G2354" s="463"/>
    </row>
    <row r="2355" spans="6:7" ht="12.75">
      <c r="F2355" s="463"/>
      <c r="G2355" s="463"/>
    </row>
    <row r="2356" spans="6:7" ht="12.75">
      <c r="F2356" s="463"/>
      <c r="G2356" s="463"/>
    </row>
    <row r="2357" spans="6:7" ht="12.75">
      <c r="F2357" s="463"/>
      <c r="G2357" s="463"/>
    </row>
    <row r="2358" spans="6:7" ht="12.75">
      <c r="F2358" s="463"/>
      <c r="G2358" s="463"/>
    </row>
    <row r="2359" spans="6:7" ht="12.75">
      <c r="F2359" s="463"/>
      <c r="G2359" s="463"/>
    </row>
    <row r="2360" spans="6:7" ht="12.75">
      <c r="F2360" s="463"/>
      <c r="G2360" s="463"/>
    </row>
    <row r="2361" spans="6:7" ht="12.75">
      <c r="F2361" s="463"/>
      <c r="G2361" s="463"/>
    </row>
    <row r="2362" spans="6:7" ht="12.75">
      <c r="F2362" s="463"/>
      <c r="G2362" s="463"/>
    </row>
    <row r="2363" spans="6:7" ht="12.75">
      <c r="F2363" s="463"/>
      <c r="G2363" s="463"/>
    </row>
    <row r="2364" spans="6:7" ht="12.75">
      <c r="F2364" s="463"/>
      <c r="G2364" s="463"/>
    </row>
    <row r="2365" spans="6:7" ht="12.75">
      <c r="F2365" s="463"/>
      <c r="G2365" s="463"/>
    </row>
    <row r="2366" spans="6:7" ht="12.75">
      <c r="F2366" s="463"/>
      <c r="G2366" s="463"/>
    </row>
    <row r="2367" spans="6:7" ht="12.75">
      <c r="F2367" s="463"/>
      <c r="G2367" s="463"/>
    </row>
    <row r="2368" spans="6:7" ht="12.75">
      <c r="F2368" s="463"/>
      <c r="G2368" s="463"/>
    </row>
    <row r="2369" spans="6:7" ht="12.75">
      <c r="F2369" s="463"/>
      <c r="G2369" s="463"/>
    </row>
    <row r="2370" spans="6:7" ht="12.75">
      <c r="F2370" s="463"/>
      <c r="G2370" s="463"/>
    </row>
    <row r="2371" spans="6:7" ht="12.75">
      <c r="F2371" s="463"/>
      <c r="G2371" s="463"/>
    </row>
    <row r="2372" spans="6:7" ht="12.75">
      <c r="F2372" s="463"/>
      <c r="G2372" s="463"/>
    </row>
    <row r="2373" spans="6:7" ht="12.75">
      <c r="F2373" s="463"/>
      <c r="G2373" s="463"/>
    </row>
    <row r="2374" spans="6:7" ht="12.75">
      <c r="F2374" s="463"/>
      <c r="G2374" s="463"/>
    </row>
    <row r="2375" spans="6:7" ht="12.75">
      <c r="F2375" s="463"/>
      <c r="G2375" s="463"/>
    </row>
    <row r="2376" spans="6:7" ht="12.75">
      <c r="F2376" s="463"/>
      <c r="G2376" s="463"/>
    </row>
    <row r="2377" spans="6:7" ht="12.75">
      <c r="F2377" s="463"/>
      <c r="G2377" s="463"/>
    </row>
    <row r="2378" spans="6:7" ht="12.75">
      <c r="F2378" s="463"/>
      <c r="G2378" s="463"/>
    </row>
    <row r="2379" spans="6:7" ht="12.75">
      <c r="F2379" s="463"/>
      <c r="G2379" s="463"/>
    </row>
    <row r="2380" spans="6:7" ht="12.75">
      <c r="F2380" s="463"/>
      <c r="G2380" s="463"/>
    </row>
    <row r="2381" spans="6:7" ht="12.75">
      <c r="F2381" s="463"/>
      <c r="G2381" s="463"/>
    </row>
    <row r="2382" spans="6:7" ht="12.75">
      <c r="F2382" s="463"/>
      <c r="G2382" s="463"/>
    </row>
    <row r="2383" spans="6:7" ht="12.75">
      <c r="F2383" s="463"/>
      <c r="G2383" s="463"/>
    </row>
    <row r="2384" spans="6:7" ht="12.75">
      <c r="F2384" s="463"/>
      <c r="G2384" s="463"/>
    </row>
    <row r="2385" spans="6:7" ht="12.75">
      <c r="F2385" s="463"/>
      <c r="G2385" s="463"/>
    </row>
    <row r="2386" spans="6:7" ht="12.75">
      <c r="F2386" s="463"/>
      <c r="G2386" s="463"/>
    </row>
    <row r="2387" spans="6:7" ht="12.75">
      <c r="F2387" s="463"/>
      <c r="G2387" s="463"/>
    </row>
    <row r="2388" spans="6:7" ht="12.75">
      <c r="F2388" s="463"/>
      <c r="G2388" s="463"/>
    </row>
    <row r="2389" spans="6:7" ht="12.75">
      <c r="F2389" s="463"/>
      <c r="G2389" s="463"/>
    </row>
    <row r="2390" spans="6:7" ht="12.75">
      <c r="F2390" s="463"/>
      <c r="G2390" s="463"/>
    </row>
    <row r="2391" spans="6:7" ht="12.75">
      <c r="F2391" s="463"/>
      <c r="G2391" s="463"/>
    </row>
    <row r="2392" spans="6:7" ht="12.75">
      <c r="F2392" s="463"/>
      <c r="G2392" s="463"/>
    </row>
    <row r="2393" spans="6:7" ht="12.75">
      <c r="F2393" s="463"/>
      <c r="G2393" s="463"/>
    </row>
    <row r="2394" spans="6:7" ht="12.75">
      <c r="F2394" s="463"/>
      <c r="G2394" s="463"/>
    </row>
    <row r="2395" spans="6:7" ht="12.75">
      <c r="F2395" s="463"/>
      <c r="G2395" s="463"/>
    </row>
    <row r="2396" spans="6:7" ht="12.75">
      <c r="F2396" s="463"/>
      <c r="G2396" s="463"/>
    </row>
    <row r="2397" spans="6:7" ht="12.75">
      <c r="F2397" s="463"/>
      <c r="G2397" s="463"/>
    </row>
    <row r="2398" spans="6:7" ht="12.75">
      <c r="F2398" s="463"/>
      <c r="G2398" s="463"/>
    </row>
    <row r="2399" spans="6:7" ht="12.75">
      <c r="F2399" s="463"/>
      <c r="G2399" s="463"/>
    </row>
    <row r="2400" spans="6:7" ht="12.75">
      <c r="F2400" s="463"/>
      <c r="G2400" s="463"/>
    </row>
    <row r="2401" spans="6:7" ht="12.75">
      <c r="F2401" s="463"/>
      <c r="G2401" s="463"/>
    </row>
    <row r="2402" spans="6:7" ht="12.75">
      <c r="F2402" s="463"/>
      <c r="G2402" s="463"/>
    </row>
    <row r="2403" spans="6:7" ht="12.75">
      <c r="F2403" s="463"/>
      <c r="G2403" s="463"/>
    </row>
    <row r="2404" spans="6:7" ht="12.75">
      <c r="F2404" s="463"/>
      <c r="G2404" s="463"/>
    </row>
    <row r="2405" spans="6:7" ht="12.75">
      <c r="F2405" s="463"/>
      <c r="G2405" s="463"/>
    </row>
    <row r="2406" spans="6:7" ht="12.75">
      <c r="F2406" s="463"/>
      <c r="G2406" s="463"/>
    </row>
    <row r="2407" spans="6:7" ht="12.75">
      <c r="F2407" s="463"/>
      <c r="G2407" s="463"/>
    </row>
    <row r="2408" spans="6:7" ht="12.75">
      <c r="F2408" s="463"/>
      <c r="G2408" s="463"/>
    </row>
    <row r="2409" spans="6:7" ht="12.75">
      <c r="F2409" s="463"/>
      <c r="G2409" s="463"/>
    </row>
    <row r="2410" spans="6:7" ht="12.75">
      <c r="F2410" s="463"/>
      <c r="G2410" s="463"/>
    </row>
    <row r="2411" spans="6:7" ht="12.75">
      <c r="F2411" s="463"/>
      <c r="G2411" s="463"/>
    </row>
    <row r="2412" spans="6:7" ht="12.75">
      <c r="F2412" s="463"/>
      <c r="G2412" s="463"/>
    </row>
    <row r="2413" spans="6:7" ht="12.75">
      <c r="F2413" s="463"/>
      <c r="G2413" s="463"/>
    </row>
    <row r="2414" spans="6:7" ht="12.75">
      <c r="F2414" s="463"/>
      <c r="G2414" s="463"/>
    </row>
    <row r="2415" spans="6:7" ht="12.75">
      <c r="F2415" s="463"/>
      <c r="G2415" s="463"/>
    </row>
    <row r="2416" spans="6:7" ht="12.75">
      <c r="F2416" s="463"/>
      <c r="G2416" s="463"/>
    </row>
    <row r="2417" spans="6:7" ht="12.75">
      <c r="F2417" s="463"/>
      <c r="G2417" s="463"/>
    </row>
    <row r="2418" spans="6:7" ht="12.75">
      <c r="F2418" s="463"/>
      <c r="G2418" s="463"/>
    </row>
    <row r="2419" spans="6:7" ht="12.75">
      <c r="F2419" s="463"/>
      <c r="G2419" s="463"/>
    </row>
    <row r="2420" spans="6:7" ht="12.75">
      <c r="F2420" s="463"/>
      <c r="G2420" s="463"/>
    </row>
    <row r="2421" spans="6:7" ht="12.75">
      <c r="F2421" s="463"/>
      <c r="G2421" s="463"/>
    </row>
    <row r="2422" spans="6:7" ht="12.75">
      <c r="F2422" s="463"/>
      <c r="G2422" s="463"/>
    </row>
    <row r="2423" spans="6:7" ht="12.75">
      <c r="F2423" s="463"/>
      <c r="G2423" s="463"/>
    </row>
    <row r="2424" spans="6:7" ht="12.75">
      <c r="F2424" s="463"/>
      <c r="G2424" s="463"/>
    </row>
    <row r="2425" spans="6:7" ht="12.75">
      <c r="F2425" s="463"/>
      <c r="G2425" s="463"/>
    </row>
    <row r="2426" spans="6:7" ht="12.75">
      <c r="F2426" s="463"/>
      <c r="G2426" s="463"/>
    </row>
    <row r="2427" spans="6:7" ht="12.75">
      <c r="F2427" s="463"/>
      <c r="G2427" s="463"/>
    </row>
    <row r="2428" spans="6:7" ht="12.75">
      <c r="F2428" s="463"/>
      <c r="G2428" s="463"/>
    </row>
    <row r="2429" spans="6:7" ht="12.75">
      <c r="F2429" s="463"/>
      <c r="G2429" s="463"/>
    </row>
    <row r="2430" spans="6:7" ht="12.75">
      <c r="F2430" s="463"/>
      <c r="G2430" s="463"/>
    </row>
    <row r="2431" spans="6:7" ht="12.75">
      <c r="F2431" s="463"/>
      <c r="G2431" s="463"/>
    </row>
    <row r="2432" spans="6:7" ht="12.75">
      <c r="F2432" s="463"/>
      <c r="G2432" s="463"/>
    </row>
    <row r="2433" spans="6:7" ht="12.75">
      <c r="F2433" s="463"/>
      <c r="G2433" s="463"/>
    </row>
    <row r="2434" spans="6:7" ht="12.75">
      <c r="F2434" s="463"/>
      <c r="G2434" s="463"/>
    </row>
    <row r="2435" spans="6:7" ht="12.75">
      <c r="F2435" s="463"/>
      <c r="G2435" s="463"/>
    </row>
    <row r="2436" spans="6:7" ht="12.75">
      <c r="F2436" s="463"/>
      <c r="G2436" s="463"/>
    </row>
    <row r="2437" spans="6:7" ht="12.75">
      <c r="F2437" s="463"/>
      <c r="G2437" s="463"/>
    </row>
    <row r="2438" spans="6:7" ht="12.75">
      <c r="F2438" s="463"/>
      <c r="G2438" s="463"/>
    </row>
    <row r="2439" spans="6:7" ht="12.75">
      <c r="F2439" s="463"/>
      <c r="G2439" s="463"/>
    </row>
    <row r="2440" spans="6:7" ht="12.75">
      <c r="F2440" s="463"/>
      <c r="G2440" s="463"/>
    </row>
    <row r="2441" spans="6:7" ht="12.75">
      <c r="F2441" s="463"/>
      <c r="G2441" s="463"/>
    </row>
    <row r="2442" spans="6:7" ht="12.75">
      <c r="F2442" s="463"/>
      <c r="G2442" s="463"/>
    </row>
    <row r="2443" spans="6:7" ht="12.75">
      <c r="F2443" s="463"/>
      <c r="G2443" s="463"/>
    </row>
    <row r="2444" spans="6:7" ht="12.75">
      <c r="F2444" s="463"/>
      <c r="G2444" s="463"/>
    </row>
    <row r="2445" spans="6:7" ht="12.75">
      <c r="F2445" s="463"/>
      <c r="G2445" s="463"/>
    </row>
    <row r="2446" spans="6:7" ht="12.75">
      <c r="F2446" s="463"/>
      <c r="G2446" s="463"/>
    </row>
    <row r="2447" spans="6:7" ht="12.75">
      <c r="F2447" s="463"/>
      <c r="G2447" s="463"/>
    </row>
    <row r="2448" spans="6:7" ht="12.75">
      <c r="F2448" s="463"/>
      <c r="G2448" s="463"/>
    </row>
    <row r="2449" spans="6:7" ht="12.75">
      <c r="F2449" s="463"/>
      <c r="G2449" s="463"/>
    </row>
    <row r="2450" spans="6:7" ht="12.75">
      <c r="F2450" s="463"/>
      <c r="G2450" s="463"/>
    </row>
    <row r="2451" spans="6:7" ht="12.75">
      <c r="F2451" s="463"/>
      <c r="G2451" s="463"/>
    </row>
    <row r="2452" spans="6:7" ht="12.75">
      <c r="F2452" s="463"/>
      <c r="G2452" s="463"/>
    </row>
    <row r="2453" spans="6:7" ht="12.75">
      <c r="F2453" s="463"/>
      <c r="G2453" s="463"/>
    </row>
    <row r="2454" spans="6:7" ht="12.75">
      <c r="F2454" s="463"/>
      <c r="G2454" s="463"/>
    </row>
    <row r="2455" spans="6:7" ht="12.75">
      <c r="F2455" s="463"/>
      <c r="G2455" s="463"/>
    </row>
    <row r="2456" spans="6:7" ht="12.75">
      <c r="F2456" s="463"/>
      <c r="G2456" s="463"/>
    </row>
    <row r="2457" spans="6:7" ht="12.75">
      <c r="F2457" s="463"/>
      <c r="G2457" s="463"/>
    </row>
    <row r="2458" spans="6:7" ht="12.75">
      <c r="F2458" s="463"/>
      <c r="G2458" s="463"/>
    </row>
    <row r="2459" spans="6:7" ht="12.75">
      <c r="F2459" s="463"/>
      <c r="G2459" s="463"/>
    </row>
    <row r="2460" spans="6:7" ht="12.75">
      <c r="F2460" s="463"/>
      <c r="G2460" s="463"/>
    </row>
    <row r="2461" spans="6:7" ht="12.75">
      <c r="F2461" s="463"/>
      <c r="G2461" s="463"/>
    </row>
    <row r="2462" spans="6:7" ht="12.75">
      <c r="F2462" s="463"/>
      <c r="G2462" s="463"/>
    </row>
    <row r="2463" spans="6:7" ht="12.75">
      <c r="F2463" s="463"/>
      <c r="G2463" s="463"/>
    </row>
    <row r="2464" spans="6:7" ht="12.75">
      <c r="F2464" s="463"/>
      <c r="G2464" s="463"/>
    </row>
    <row r="2465" spans="6:7" ht="12.75">
      <c r="F2465" s="463"/>
      <c r="G2465" s="463"/>
    </row>
    <row r="2466" spans="6:7" ht="12.75">
      <c r="F2466" s="463"/>
      <c r="G2466" s="463"/>
    </row>
    <row r="2467" spans="6:7" ht="12.75">
      <c r="F2467" s="463"/>
      <c r="G2467" s="463"/>
    </row>
    <row r="2468" spans="6:7" ht="12.75">
      <c r="F2468" s="463"/>
      <c r="G2468" s="463"/>
    </row>
    <row r="2469" spans="6:7" ht="12.75">
      <c r="F2469" s="463"/>
      <c r="G2469" s="463"/>
    </row>
    <row r="2470" spans="6:7" ht="12.75">
      <c r="F2470" s="463"/>
      <c r="G2470" s="463"/>
    </row>
    <row r="2471" spans="6:7" ht="12.75">
      <c r="F2471" s="463"/>
      <c r="G2471" s="463"/>
    </row>
    <row r="2472" spans="6:7" ht="12.75">
      <c r="F2472" s="463"/>
      <c r="G2472" s="463"/>
    </row>
    <row r="2473" spans="6:7" ht="12.75">
      <c r="F2473" s="463"/>
      <c r="G2473" s="463"/>
    </row>
    <row r="2474" spans="6:7" ht="12.75">
      <c r="F2474" s="463"/>
      <c r="G2474" s="463"/>
    </row>
    <row r="2475" spans="6:7" ht="12.75">
      <c r="F2475" s="463"/>
      <c r="G2475" s="463"/>
    </row>
    <row r="2476" spans="6:7" ht="12.75">
      <c r="F2476" s="463"/>
      <c r="G2476" s="463"/>
    </row>
    <row r="2477" spans="6:7" ht="12.75">
      <c r="F2477" s="463"/>
      <c r="G2477" s="463"/>
    </row>
    <row r="2478" spans="6:7" ht="12.75">
      <c r="F2478" s="463"/>
      <c r="G2478" s="463"/>
    </row>
    <row r="2479" spans="6:7" ht="12.75">
      <c r="F2479" s="463"/>
      <c r="G2479" s="463"/>
    </row>
    <row r="2480" spans="6:7" ht="12.75">
      <c r="F2480" s="463"/>
      <c r="G2480" s="463"/>
    </row>
    <row r="2481" spans="6:7" ht="12.75">
      <c r="F2481" s="463"/>
      <c r="G2481" s="463"/>
    </row>
    <row r="2482" spans="6:7" ht="12.75">
      <c r="F2482" s="463"/>
      <c r="G2482" s="463"/>
    </row>
    <row r="2483" spans="6:7" ht="12.75">
      <c r="F2483" s="463"/>
      <c r="G2483" s="463"/>
    </row>
    <row r="2484" spans="6:7" ht="12.75">
      <c r="F2484" s="463"/>
      <c r="G2484" s="463"/>
    </row>
    <row r="2485" spans="6:7" ht="12.75">
      <c r="F2485" s="463"/>
      <c r="G2485" s="463"/>
    </row>
    <row r="2486" spans="6:7" ht="12.75">
      <c r="F2486" s="463"/>
      <c r="G2486" s="463"/>
    </row>
    <row r="2487" spans="6:7" ht="12.75">
      <c r="F2487" s="463"/>
      <c r="G2487" s="463"/>
    </row>
    <row r="2488" spans="6:7" ht="12.75">
      <c r="F2488" s="463"/>
      <c r="G2488" s="463"/>
    </row>
    <row r="2489" spans="6:7" ht="12.75">
      <c r="F2489" s="463"/>
      <c r="G2489" s="463"/>
    </row>
    <row r="2490" spans="6:7" ht="12.75">
      <c r="F2490" s="463"/>
      <c r="G2490" s="463"/>
    </row>
    <row r="2491" spans="6:7" ht="12.75">
      <c r="F2491" s="463"/>
      <c r="G2491" s="463"/>
    </row>
    <row r="2492" spans="6:7" ht="12.75">
      <c r="F2492" s="463"/>
      <c r="G2492" s="463"/>
    </row>
    <row r="2493" spans="6:7" ht="12.75">
      <c r="F2493" s="463"/>
      <c r="G2493" s="463"/>
    </row>
    <row r="2494" spans="6:7" ht="12.75">
      <c r="F2494" s="463"/>
      <c r="G2494" s="463"/>
    </row>
    <row r="2495" spans="6:7" ht="12.75">
      <c r="F2495" s="463"/>
      <c r="G2495" s="463"/>
    </row>
    <row r="2496" spans="6:7" ht="12.75">
      <c r="F2496" s="463"/>
      <c r="G2496" s="463"/>
    </row>
    <row r="2497" spans="6:7" ht="12.75">
      <c r="F2497" s="463"/>
      <c r="G2497" s="463"/>
    </row>
    <row r="2498" spans="6:7" ht="12.75">
      <c r="F2498" s="463"/>
      <c r="G2498" s="463"/>
    </row>
    <row r="2499" spans="6:7" ht="12.75">
      <c r="F2499" s="463"/>
      <c r="G2499" s="463"/>
    </row>
    <row r="2500" spans="6:7" ht="12.75">
      <c r="F2500" s="463"/>
      <c r="G2500" s="463"/>
    </row>
    <row r="2501" spans="6:7" ht="12.75">
      <c r="F2501" s="463"/>
      <c r="G2501" s="463"/>
    </row>
    <row r="2502" spans="6:7" ht="12.75">
      <c r="F2502" s="463"/>
      <c r="G2502" s="463"/>
    </row>
    <row r="2503" spans="6:7" ht="12.75">
      <c r="F2503" s="463"/>
      <c r="G2503" s="463"/>
    </row>
    <row r="2504" spans="6:7" ht="12.75">
      <c r="F2504" s="463"/>
      <c r="G2504" s="463"/>
    </row>
    <row r="2505" spans="6:7" ht="12.75">
      <c r="F2505" s="463"/>
      <c r="G2505" s="463"/>
    </row>
    <row r="2506" spans="6:7" ht="12.75">
      <c r="F2506" s="463"/>
      <c r="G2506" s="463"/>
    </row>
    <row r="2507" spans="6:7" ht="12.75">
      <c r="F2507" s="463"/>
      <c r="G2507" s="463"/>
    </row>
    <row r="2508" spans="6:7" ht="12.75">
      <c r="F2508" s="463"/>
      <c r="G2508" s="463"/>
    </row>
    <row r="2509" spans="6:7" ht="12.75">
      <c r="F2509" s="463"/>
      <c r="G2509" s="463"/>
    </row>
    <row r="2510" spans="6:7" ht="12.75">
      <c r="F2510" s="463"/>
      <c r="G2510" s="463"/>
    </row>
    <row r="2511" spans="6:7" ht="12.75">
      <c r="F2511" s="463"/>
      <c r="G2511" s="463"/>
    </row>
    <row r="2512" spans="6:7" ht="12.75">
      <c r="F2512" s="463"/>
      <c r="G2512" s="463"/>
    </row>
    <row r="2513" spans="6:7" ht="12.75">
      <c r="F2513" s="463"/>
      <c r="G2513" s="463"/>
    </row>
    <row r="2514" spans="6:7" ht="12.75">
      <c r="F2514" s="463"/>
      <c r="G2514" s="463"/>
    </row>
    <row r="2515" spans="6:7" ht="12.75">
      <c r="F2515" s="463"/>
      <c r="G2515" s="463"/>
    </row>
    <row r="2516" spans="6:7" ht="12.75">
      <c r="F2516" s="463"/>
      <c r="G2516" s="463"/>
    </row>
    <row r="2517" spans="6:7" ht="12.75">
      <c r="F2517" s="463"/>
      <c r="G2517" s="463"/>
    </row>
    <row r="2518" spans="6:7" ht="12.75">
      <c r="F2518" s="463"/>
      <c r="G2518" s="463"/>
    </row>
    <row r="2519" spans="6:7" ht="12.75">
      <c r="F2519" s="463"/>
      <c r="G2519" s="463"/>
    </row>
    <row r="2520" spans="6:7" ht="12.75">
      <c r="F2520" s="463"/>
      <c r="G2520" s="463"/>
    </row>
    <row r="2521" spans="6:7" ht="12.75">
      <c r="F2521" s="463"/>
      <c r="G2521" s="463"/>
    </row>
    <row r="2522" spans="6:7" ht="12.75">
      <c r="F2522" s="463"/>
      <c r="G2522" s="463"/>
    </row>
    <row r="2523" spans="6:7" ht="12.75">
      <c r="F2523" s="463"/>
      <c r="G2523" s="463"/>
    </row>
    <row r="2524" spans="6:7" ht="12.75">
      <c r="F2524" s="463"/>
      <c r="G2524" s="463"/>
    </row>
    <row r="2525" spans="6:7" ht="12.75">
      <c r="F2525" s="463"/>
      <c r="G2525" s="463"/>
    </row>
    <row r="2526" spans="6:7" ht="12.75">
      <c r="F2526" s="463"/>
      <c r="G2526" s="463"/>
    </row>
    <row r="2527" spans="6:7" ht="12.75">
      <c r="F2527" s="463"/>
      <c r="G2527" s="463"/>
    </row>
    <row r="2528" spans="6:7" ht="12.75">
      <c r="F2528" s="463"/>
      <c r="G2528" s="463"/>
    </row>
    <row r="2529" spans="6:7" ht="12.75">
      <c r="F2529" s="463"/>
      <c r="G2529" s="463"/>
    </row>
    <row r="2530" spans="6:7" ht="12.75">
      <c r="F2530" s="463"/>
      <c r="G2530" s="463"/>
    </row>
    <row r="2531" spans="6:7" ht="12.75">
      <c r="F2531" s="463"/>
      <c r="G2531" s="463"/>
    </row>
    <row r="2532" spans="6:7" ht="12.75">
      <c r="F2532" s="463"/>
      <c r="G2532" s="463"/>
    </row>
    <row r="2533" spans="6:7" ht="12.75">
      <c r="F2533" s="463"/>
      <c r="G2533" s="463"/>
    </row>
    <row r="2534" spans="6:7" ht="12.75">
      <c r="F2534" s="463"/>
      <c r="G2534" s="463"/>
    </row>
    <row r="2535" spans="6:7" ht="12.75">
      <c r="F2535" s="463"/>
      <c r="G2535" s="463"/>
    </row>
    <row r="2536" spans="6:7" ht="12.75">
      <c r="F2536" s="463"/>
      <c r="G2536" s="463"/>
    </row>
    <row r="2537" spans="6:7" ht="12.75">
      <c r="F2537" s="463"/>
      <c r="G2537" s="463"/>
    </row>
    <row r="2538" spans="6:7" ht="12.75">
      <c r="F2538" s="463"/>
      <c r="G2538" s="463"/>
    </row>
    <row r="2539" spans="6:7" ht="12.75">
      <c r="F2539" s="463"/>
      <c r="G2539" s="463"/>
    </row>
    <row r="2540" spans="6:7" ht="12.75">
      <c r="F2540" s="463"/>
      <c r="G2540" s="463"/>
    </row>
    <row r="2541" spans="6:7" ht="12.75">
      <c r="F2541" s="463"/>
      <c r="G2541" s="463"/>
    </row>
    <row r="2542" spans="6:7" ht="12.75">
      <c r="F2542" s="463"/>
      <c r="G2542" s="463"/>
    </row>
    <row r="2543" spans="6:7" ht="12.75">
      <c r="F2543" s="463"/>
      <c r="G2543" s="463"/>
    </row>
    <row r="2544" spans="6:7" ht="12.75">
      <c r="F2544" s="463"/>
      <c r="G2544" s="463"/>
    </row>
    <row r="2545" spans="6:7" ht="12.75">
      <c r="F2545" s="463"/>
      <c r="G2545" s="463"/>
    </row>
    <row r="2546" spans="6:7" ht="12.75">
      <c r="F2546" s="463"/>
      <c r="G2546" s="463"/>
    </row>
    <row r="2547" spans="6:7" ht="12.75">
      <c r="F2547" s="463"/>
      <c r="G2547" s="463"/>
    </row>
    <row r="2548" spans="6:7" ht="12.75">
      <c r="F2548" s="463"/>
      <c r="G2548" s="463"/>
    </row>
    <row r="2549" spans="6:7" ht="12.75">
      <c r="F2549" s="463"/>
      <c r="G2549" s="463"/>
    </row>
    <row r="2550" spans="6:7" ht="12.75">
      <c r="F2550" s="463"/>
      <c r="G2550" s="463"/>
    </row>
    <row r="2551" spans="6:7" ht="12.75">
      <c r="F2551" s="463"/>
      <c r="G2551" s="463"/>
    </row>
    <row r="2552" spans="6:7" ht="12.75">
      <c r="F2552" s="463"/>
      <c r="G2552" s="463"/>
    </row>
    <row r="2553" spans="6:7" ht="12.75">
      <c r="F2553" s="463"/>
      <c r="G2553" s="463"/>
    </row>
    <row r="2554" spans="6:7" ht="12.75">
      <c r="F2554" s="463"/>
      <c r="G2554" s="463"/>
    </row>
    <row r="2555" spans="6:7" ht="12.75">
      <c r="F2555" s="463"/>
      <c r="G2555" s="463"/>
    </row>
    <row r="2556" spans="6:7" ht="12.75">
      <c r="F2556" s="463"/>
      <c r="G2556" s="463"/>
    </row>
    <row r="2557" spans="6:7" ht="12.75">
      <c r="F2557" s="463"/>
      <c r="G2557" s="463"/>
    </row>
    <row r="2558" spans="6:7" ht="12.75">
      <c r="F2558" s="463"/>
      <c r="G2558" s="463"/>
    </row>
    <row r="2559" spans="6:7" ht="12.75">
      <c r="F2559" s="463"/>
      <c r="G2559" s="463"/>
    </row>
    <row r="2560" spans="6:7" ht="12.75">
      <c r="F2560" s="463"/>
      <c r="G2560" s="463"/>
    </row>
    <row r="2561" spans="6:7" ht="12.75">
      <c r="F2561" s="463"/>
      <c r="G2561" s="463"/>
    </row>
    <row r="2562" spans="6:7" ht="12.75">
      <c r="F2562" s="463"/>
      <c r="G2562" s="463"/>
    </row>
    <row r="2563" spans="6:7" ht="12.75">
      <c r="F2563" s="463"/>
      <c r="G2563" s="463"/>
    </row>
    <row r="2564" spans="6:7" ht="12.75">
      <c r="F2564" s="463"/>
      <c r="G2564" s="463"/>
    </row>
    <row r="2565" spans="6:7" ht="12.75">
      <c r="F2565" s="463"/>
      <c r="G2565" s="463"/>
    </row>
    <row r="2566" spans="6:7" ht="12.75">
      <c r="F2566" s="463"/>
      <c r="G2566" s="463"/>
    </row>
    <row r="2567" spans="6:7" ht="12.75">
      <c r="F2567" s="463"/>
      <c r="G2567" s="463"/>
    </row>
    <row r="2568" spans="6:7" ht="12.75">
      <c r="F2568" s="463"/>
      <c r="G2568" s="463"/>
    </row>
    <row r="2569" spans="6:7" ht="12.75">
      <c r="F2569" s="463"/>
      <c r="G2569" s="463"/>
    </row>
    <row r="2570" spans="6:7" ht="12.75">
      <c r="F2570" s="463"/>
      <c r="G2570" s="463"/>
    </row>
    <row r="2571" spans="6:7" ht="12.75">
      <c r="F2571" s="463"/>
      <c r="G2571" s="463"/>
    </row>
    <row r="2572" spans="6:7" ht="12.75">
      <c r="F2572" s="463"/>
      <c r="G2572" s="463"/>
    </row>
    <row r="2573" spans="6:7" ht="12.75">
      <c r="F2573" s="463"/>
      <c r="G2573" s="463"/>
    </row>
    <row r="2574" spans="6:7" ht="12.75">
      <c r="F2574" s="463"/>
      <c r="G2574" s="463"/>
    </row>
    <row r="2575" spans="6:7" ht="12.75">
      <c r="F2575" s="463"/>
      <c r="G2575" s="463"/>
    </row>
    <row r="2576" spans="6:7" ht="12.75">
      <c r="F2576" s="463"/>
      <c r="G2576" s="463"/>
    </row>
    <row r="2577" spans="6:7" ht="12.75">
      <c r="F2577" s="463"/>
      <c r="G2577" s="463"/>
    </row>
    <row r="2578" spans="6:7" ht="12.75">
      <c r="F2578" s="463"/>
      <c r="G2578" s="463"/>
    </row>
    <row r="2579" spans="6:7" ht="12.75">
      <c r="F2579" s="463"/>
      <c r="G2579" s="463"/>
    </row>
    <row r="2580" spans="6:7" ht="12.75">
      <c r="F2580" s="463"/>
      <c r="G2580" s="463"/>
    </row>
    <row r="2581" spans="6:7" ht="12.75">
      <c r="F2581" s="463"/>
      <c r="G2581" s="463"/>
    </row>
    <row r="2582" spans="6:7" ht="12.75">
      <c r="F2582" s="463"/>
      <c r="G2582" s="463"/>
    </row>
    <row r="2583" spans="6:7" ht="12.75">
      <c r="F2583" s="463"/>
      <c r="G2583" s="463"/>
    </row>
    <row r="2584" spans="6:7" ht="12.75">
      <c r="F2584" s="463"/>
      <c r="G2584" s="463"/>
    </row>
    <row r="2585" spans="6:7" ht="12.75">
      <c r="F2585" s="463"/>
      <c r="G2585" s="463"/>
    </row>
    <row r="2586" spans="6:7" ht="12.75">
      <c r="F2586" s="463"/>
      <c r="G2586" s="463"/>
    </row>
    <row r="2587" spans="6:7" ht="12.75">
      <c r="F2587" s="463"/>
      <c r="G2587" s="463"/>
    </row>
    <row r="2588" spans="6:7" ht="12.75">
      <c r="F2588" s="463"/>
      <c r="G2588" s="463"/>
    </row>
    <row r="2589" spans="6:7" ht="12.75">
      <c r="F2589" s="463"/>
      <c r="G2589" s="463"/>
    </row>
    <row r="2590" spans="6:7" ht="12.75">
      <c r="F2590" s="463"/>
      <c r="G2590" s="463"/>
    </row>
    <row r="2591" spans="6:7" ht="12.75">
      <c r="F2591" s="463"/>
      <c r="G2591" s="463"/>
    </row>
    <row r="2592" spans="6:7" ht="12.75">
      <c r="F2592" s="463"/>
      <c r="G2592" s="463"/>
    </row>
    <row r="2593" spans="6:7" ht="12.75">
      <c r="F2593" s="463"/>
      <c r="G2593" s="463"/>
    </row>
    <row r="2594" spans="6:7" ht="12.75">
      <c r="F2594" s="463"/>
      <c r="G2594" s="463"/>
    </row>
    <row r="2595" spans="6:7" ht="12.75">
      <c r="F2595" s="463"/>
      <c r="G2595" s="463"/>
    </row>
    <row r="2596" spans="6:7" ht="12.75">
      <c r="F2596" s="463"/>
      <c r="G2596" s="463"/>
    </row>
    <row r="2597" spans="6:7" ht="12.75">
      <c r="F2597" s="463"/>
      <c r="G2597" s="463"/>
    </row>
    <row r="2598" spans="6:7" ht="12.75">
      <c r="F2598" s="463"/>
      <c r="G2598" s="463"/>
    </row>
    <row r="2599" spans="6:7" ht="12.75">
      <c r="F2599" s="463"/>
      <c r="G2599" s="463"/>
    </row>
    <row r="2600" spans="6:7" ht="12.75">
      <c r="F2600" s="463"/>
      <c r="G2600" s="463"/>
    </row>
    <row r="2601" spans="6:7" ht="12.75">
      <c r="F2601" s="463"/>
      <c r="G2601" s="463"/>
    </row>
    <row r="2602" spans="6:7" ht="12.75">
      <c r="F2602" s="463"/>
      <c r="G2602" s="463"/>
    </row>
    <row r="2603" spans="6:7" ht="12.75">
      <c r="F2603" s="463"/>
      <c r="G2603" s="463"/>
    </row>
    <row r="2604" spans="6:7" ht="12.75">
      <c r="F2604" s="463"/>
      <c r="G2604" s="463"/>
    </row>
    <row r="2605" spans="6:7" ht="12.75">
      <c r="F2605" s="463"/>
      <c r="G2605" s="463"/>
    </row>
    <row r="2606" spans="6:7" ht="12.75">
      <c r="F2606" s="463"/>
      <c r="G2606" s="463"/>
    </row>
    <row r="2607" spans="6:7" ht="12.75">
      <c r="F2607" s="463"/>
      <c r="G2607" s="463"/>
    </row>
    <row r="2608" spans="6:7" ht="12.75">
      <c r="F2608" s="463"/>
      <c r="G2608" s="463"/>
    </row>
    <row r="2609" spans="6:7" ht="12.75">
      <c r="F2609" s="463"/>
      <c r="G2609" s="463"/>
    </row>
    <row r="2610" spans="6:7" ht="12.75">
      <c r="F2610" s="463"/>
      <c r="G2610" s="463"/>
    </row>
    <row r="2611" spans="6:7" ht="12.75">
      <c r="F2611" s="463"/>
      <c r="G2611" s="463"/>
    </row>
    <row r="2612" spans="6:7" ht="12.75">
      <c r="F2612" s="463"/>
      <c r="G2612" s="463"/>
    </row>
    <row r="2613" spans="6:7" ht="12.75">
      <c r="F2613" s="463"/>
      <c r="G2613" s="463"/>
    </row>
    <row r="2614" spans="6:7" ht="12.75">
      <c r="F2614" s="463"/>
      <c r="G2614" s="463"/>
    </row>
    <row r="2615" spans="6:7" ht="12.75">
      <c r="F2615" s="463"/>
      <c r="G2615" s="463"/>
    </row>
    <row r="2616" spans="6:7" ht="12.75">
      <c r="F2616" s="463"/>
      <c r="G2616" s="463"/>
    </row>
    <row r="2617" spans="6:7" ht="12.75">
      <c r="F2617" s="463"/>
      <c r="G2617" s="463"/>
    </row>
    <row r="2618" spans="6:7" ht="12.75">
      <c r="F2618" s="463"/>
      <c r="G2618" s="463"/>
    </row>
    <row r="2619" spans="6:7" ht="12.75">
      <c r="F2619" s="463"/>
      <c r="G2619" s="463"/>
    </row>
    <row r="2620" spans="6:7" ht="12.75">
      <c r="F2620" s="463"/>
      <c r="G2620" s="463"/>
    </row>
    <row r="2621" spans="6:7" ht="12.75">
      <c r="F2621" s="463"/>
      <c r="G2621" s="463"/>
    </row>
    <row r="2622" spans="6:7" ht="12.75">
      <c r="F2622" s="463"/>
      <c r="G2622" s="463"/>
    </row>
    <row r="2623" spans="6:7" ht="12.75">
      <c r="F2623" s="463"/>
      <c r="G2623" s="463"/>
    </row>
    <row r="2624" spans="6:7" ht="12.75">
      <c r="F2624" s="463"/>
      <c r="G2624" s="463"/>
    </row>
    <row r="2625" spans="6:7" ht="12.75">
      <c r="F2625" s="463"/>
      <c r="G2625" s="463"/>
    </row>
    <row r="2626" spans="6:7" ht="12.75">
      <c r="F2626" s="463"/>
      <c r="G2626" s="463"/>
    </row>
    <row r="2627" spans="6:7" ht="12.75">
      <c r="F2627" s="463"/>
      <c r="G2627" s="463"/>
    </row>
    <row r="2628" spans="6:7" ht="12.75">
      <c r="F2628" s="463"/>
      <c r="G2628" s="463"/>
    </row>
    <row r="2629" spans="6:7" ht="12.75">
      <c r="F2629" s="463"/>
      <c r="G2629" s="463"/>
    </row>
    <row r="2630" spans="6:7" ht="12.75">
      <c r="F2630" s="463"/>
      <c r="G2630" s="463"/>
    </row>
    <row r="2631" spans="6:7" ht="12.75">
      <c r="F2631" s="463"/>
      <c r="G2631" s="463"/>
    </row>
    <row r="2632" spans="6:7" ht="12.75">
      <c r="F2632" s="463"/>
      <c r="G2632" s="463"/>
    </row>
    <row r="2633" spans="6:7" ht="12.75">
      <c r="F2633" s="463"/>
      <c r="G2633" s="463"/>
    </row>
    <row r="2634" spans="6:7" ht="12.75">
      <c r="F2634" s="463"/>
      <c r="G2634" s="463"/>
    </row>
    <row r="2635" spans="6:7" ht="12.75">
      <c r="F2635" s="463"/>
      <c r="G2635" s="463"/>
    </row>
    <row r="2636" spans="6:7" ht="12.75">
      <c r="F2636" s="463"/>
      <c r="G2636" s="463"/>
    </row>
    <row r="2637" spans="6:7" ht="12.75">
      <c r="F2637" s="463"/>
      <c r="G2637" s="463"/>
    </row>
    <row r="2638" spans="6:7" ht="12.75">
      <c r="F2638" s="463"/>
      <c r="G2638" s="463"/>
    </row>
    <row r="2639" spans="6:7" ht="12.75">
      <c r="F2639" s="463"/>
      <c r="G2639" s="463"/>
    </row>
    <row r="2640" spans="6:7" ht="12.75">
      <c r="F2640" s="463"/>
      <c r="G2640" s="463"/>
    </row>
    <row r="2641" spans="6:7" ht="12.75">
      <c r="F2641" s="463"/>
      <c r="G2641" s="463"/>
    </row>
    <row r="2642" spans="6:7" ht="12.75">
      <c r="F2642" s="463"/>
      <c r="G2642" s="463"/>
    </row>
    <row r="2643" spans="6:7" ht="12.75">
      <c r="F2643" s="463"/>
      <c r="G2643" s="463"/>
    </row>
    <row r="2644" spans="6:7" ht="12.75">
      <c r="F2644" s="463"/>
      <c r="G2644" s="463"/>
    </row>
    <row r="2645" spans="6:7" ht="12.75">
      <c r="F2645" s="463"/>
      <c r="G2645" s="463"/>
    </row>
    <row r="2646" spans="6:7" ht="12.75">
      <c r="F2646" s="463"/>
      <c r="G2646" s="463"/>
    </row>
    <row r="2647" spans="6:7" ht="12.75">
      <c r="F2647" s="463"/>
      <c r="G2647" s="463"/>
    </row>
    <row r="2648" spans="6:7" ht="12.75">
      <c r="F2648" s="463"/>
      <c r="G2648" s="463"/>
    </row>
    <row r="2649" spans="6:7" ht="12.75">
      <c r="F2649" s="463"/>
      <c r="G2649" s="463"/>
    </row>
    <row r="2650" spans="6:7" ht="12.75">
      <c r="F2650" s="463"/>
      <c r="G2650" s="463"/>
    </row>
    <row r="2651" spans="6:7" ht="12.75">
      <c r="F2651" s="463"/>
      <c r="G2651" s="463"/>
    </row>
    <row r="2652" spans="6:7" ht="12.75">
      <c r="F2652" s="463"/>
      <c r="G2652" s="463"/>
    </row>
    <row r="2653" spans="6:7" ht="12.75">
      <c r="F2653" s="463"/>
      <c r="G2653" s="463"/>
    </row>
    <row r="2654" spans="6:7" ht="12.75">
      <c r="F2654" s="463"/>
      <c r="G2654" s="463"/>
    </row>
    <row r="2655" spans="6:7" ht="12.75">
      <c r="F2655" s="463"/>
      <c r="G2655" s="463"/>
    </row>
    <row r="2656" spans="6:7" ht="12.75">
      <c r="F2656" s="463"/>
      <c r="G2656" s="463"/>
    </row>
    <row r="2657" spans="6:7" ht="12.75">
      <c r="F2657" s="463"/>
      <c r="G2657" s="463"/>
    </row>
    <row r="2658" spans="6:7" ht="12.75">
      <c r="F2658" s="463"/>
      <c r="G2658" s="463"/>
    </row>
    <row r="2659" spans="6:7" ht="12.75">
      <c r="F2659" s="463"/>
      <c r="G2659" s="463"/>
    </row>
    <row r="2660" spans="6:7" ht="12.75">
      <c r="F2660" s="463"/>
      <c r="G2660" s="463"/>
    </row>
    <row r="2661" spans="6:7" ht="12.75">
      <c r="F2661" s="463"/>
      <c r="G2661" s="463"/>
    </row>
    <row r="2662" spans="6:7" ht="12.75">
      <c r="F2662" s="463"/>
      <c r="G2662" s="463"/>
    </row>
    <row r="2663" spans="6:7" ht="12.75">
      <c r="F2663" s="463"/>
      <c r="G2663" s="463"/>
    </row>
    <row r="2664" spans="6:7" ht="12.75">
      <c r="F2664" s="463"/>
      <c r="G2664" s="463"/>
    </row>
    <row r="2665" spans="6:7" ht="12.75">
      <c r="F2665" s="463"/>
      <c r="G2665" s="463"/>
    </row>
    <row r="2666" spans="6:7" ht="12.75">
      <c r="F2666" s="463"/>
      <c r="G2666" s="463"/>
    </row>
    <row r="2667" spans="6:7" ht="12.75">
      <c r="F2667" s="463"/>
      <c r="G2667" s="463"/>
    </row>
    <row r="2668" spans="6:7" ht="12.75">
      <c r="F2668" s="463"/>
      <c r="G2668" s="463"/>
    </row>
    <row r="2669" spans="6:7" ht="12.75">
      <c r="F2669" s="463"/>
      <c r="G2669" s="463"/>
    </row>
    <row r="2670" spans="6:7" ht="12.75">
      <c r="F2670" s="463"/>
      <c r="G2670" s="463"/>
    </row>
    <row r="2671" spans="6:7" ht="12.75">
      <c r="F2671" s="463"/>
      <c r="G2671" s="463"/>
    </row>
    <row r="2672" spans="6:7" ht="12.75">
      <c r="F2672" s="463"/>
      <c r="G2672" s="463"/>
    </row>
    <row r="2673" spans="6:7" ht="12.75">
      <c r="F2673" s="463"/>
      <c r="G2673" s="463"/>
    </row>
    <row r="2674" spans="6:7" ht="12.75">
      <c r="F2674" s="463"/>
      <c r="G2674" s="463"/>
    </row>
    <row r="2675" spans="6:7" ht="12.75">
      <c r="F2675" s="463"/>
      <c r="G2675" s="463"/>
    </row>
    <row r="2676" spans="6:7" ht="12.75">
      <c r="F2676" s="463"/>
      <c r="G2676" s="463"/>
    </row>
    <row r="2677" spans="6:7" ht="12.75">
      <c r="F2677" s="463"/>
      <c r="G2677" s="463"/>
    </row>
    <row r="2678" spans="6:7" ht="12.75">
      <c r="F2678" s="463"/>
      <c r="G2678" s="463"/>
    </row>
    <row r="2679" spans="6:7" ht="12.75">
      <c r="F2679" s="463"/>
      <c r="G2679" s="463"/>
    </row>
    <row r="2680" spans="6:7" ht="12.75">
      <c r="F2680" s="463"/>
      <c r="G2680" s="463"/>
    </row>
    <row r="2681" spans="6:7" ht="12.75">
      <c r="F2681" s="463"/>
      <c r="G2681" s="463"/>
    </row>
    <row r="2682" spans="6:7" ht="12.75">
      <c r="F2682" s="463"/>
      <c r="G2682" s="463"/>
    </row>
    <row r="2683" spans="6:7" ht="12.75">
      <c r="F2683" s="463"/>
      <c r="G2683" s="463"/>
    </row>
    <row r="2684" spans="6:7" ht="12.75">
      <c r="F2684" s="463"/>
      <c r="G2684" s="463"/>
    </row>
    <row r="2685" spans="6:7" ht="12.75">
      <c r="F2685" s="463"/>
      <c r="G2685" s="463"/>
    </row>
    <row r="2686" spans="6:7" ht="12.75">
      <c r="F2686" s="463"/>
      <c r="G2686" s="463"/>
    </row>
    <row r="2687" spans="6:7" ht="12.75">
      <c r="F2687" s="463"/>
      <c r="G2687" s="463"/>
    </row>
    <row r="2688" spans="6:7" ht="12.75">
      <c r="F2688" s="463"/>
      <c r="G2688" s="463"/>
    </row>
    <row r="2689" spans="6:7" ht="12.75">
      <c r="F2689" s="463"/>
      <c r="G2689" s="463"/>
    </row>
    <row r="2690" spans="6:7" ht="12.75">
      <c r="F2690" s="463"/>
      <c r="G2690" s="463"/>
    </row>
    <row r="2691" spans="6:7" ht="12.75">
      <c r="F2691" s="463"/>
      <c r="G2691" s="463"/>
    </row>
    <row r="2692" spans="6:7" ht="12.75">
      <c r="F2692" s="463"/>
      <c r="G2692" s="463"/>
    </row>
    <row r="2693" spans="6:7" ht="12.75">
      <c r="F2693" s="463"/>
      <c r="G2693" s="463"/>
    </row>
    <row r="2694" spans="6:7" ht="12.75">
      <c r="F2694" s="463"/>
      <c r="G2694" s="463"/>
    </row>
    <row r="2695" spans="6:7" ht="12.75">
      <c r="F2695" s="463"/>
      <c r="G2695" s="463"/>
    </row>
    <row r="2696" spans="6:7" ht="12.75">
      <c r="F2696" s="463"/>
      <c r="G2696" s="463"/>
    </row>
    <row r="2697" spans="6:7" ht="12.75">
      <c r="F2697" s="463"/>
      <c r="G2697" s="463"/>
    </row>
    <row r="2698" spans="6:7" ht="12.75">
      <c r="F2698" s="463"/>
      <c r="G2698" s="463"/>
    </row>
    <row r="2699" spans="6:7" ht="12.75">
      <c r="F2699" s="463"/>
      <c r="G2699" s="463"/>
    </row>
    <row r="2700" spans="6:7" ht="12.75">
      <c r="F2700" s="463"/>
      <c r="G2700" s="463"/>
    </row>
    <row r="2701" spans="6:7" ht="12.75">
      <c r="F2701" s="463"/>
      <c r="G2701" s="463"/>
    </row>
    <row r="2702" spans="6:7" ht="12.75">
      <c r="F2702" s="463"/>
      <c r="G2702" s="463"/>
    </row>
    <row r="2703" spans="6:7" ht="12.75">
      <c r="F2703" s="463"/>
      <c r="G2703" s="463"/>
    </row>
    <row r="2704" spans="6:7" ht="12.75">
      <c r="F2704" s="463"/>
      <c r="G2704" s="463"/>
    </row>
    <row r="2705" spans="6:7" ht="12.75">
      <c r="F2705" s="463"/>
      <c r="G2705" s="463"/>
    </row>
    <row r="2706" spans="6:7" ht="12.75">
      <c r="F2706" s="463"/>
      <c r="G2706" s="463"/>
    </row>
    <row r="2707" spans="6:7" ht="12.75">
      <c r="F2707" s="463"/>
      <c r="G2707" s="463"/>
    </row>
    <row r="2708" spans="6:7" ht="12.75">
      <c r="F2708" s="463"/>
      <c r="G2708" s="463"/>
    </row>
    <row r="2709" spans="6:7" ht="12.75">
      <c r="F2709" s="463"/>
      <c r="G2709" s="463"/>
    </row>
    <row r="2710" spans="6:7" ht="12.75">
      <c r="F2710" s="463"/>
      <c r="G2710" s="463"/>
    </row>
    <row r="2711" spans="6:7" ht="12.75">
      <c r="F2711" s="463"/>
      <c r="G2711" s="463"/>
    </row>
    <row r="2712" spans="6:7" ht="12.75">
      <c r="F2712" s="463"/>
      <c r="G2712" s="463"/>
    </row>
    <row r="2713" spans="6:7" ht="12.75">
      <c r="F2713" s="463"/>
      <c r="G2713" s="463"/>
    </row>
    <row r="2714" spans="6:7" ht="12.75">
      <c r="F2714" s="463"/>
      <c r="G2714" s="463"/>
    </row>
    <row r="2715" spans="6:7" ht="12.75">
      <c r="F2715" s="463"/>
      <c r="G2715" s="463"/>
    </row>
    <row r="2716" spans="6:7" ht="12.75">
      <c r="F2716" s="463"/>
      <c r="G2716" s="463"/>
    </row>
    <row r="2717" spans="6:7" ht="12.75">
      <c r="F2717" s="463"/>
      <c r="G2717" s="463"/>
    </row>
    <row r="2718" spans="6:7" ht="12.75">
      <c r="F2718" s="463"/>
      <c r="G2718" s="463"/>
    </row>
    <row r="2719" spans="6:7" ht="12.75">
      <c r="F2719" s="463"/>
      <c r="G2719" s="463"/>
    </row>
    <row r="2720" spans="6:7" ht="12.75">
      <c r="F2720" s="463"/>
      <c r="G2720" s="463"/>
    </row>
    <row r="2721" spans="6:7" ht="12.75">
      <c r="F2721" s="463"/>
      <c r="G2721" s="463"/>
    </row>
    <row r="2722" spans="6:7" ht="12.75">
      <c r="F2722" s="463"/>
      <c r="G2722" s="463"/>
    </row>
    <row r="2723" spans="6:7" ht="12.75">
      <c r="F2723" s="463"/>
      <c r="G2723" s="463"/>
    </row>
    <row r="2724" spans="6:7" ht="12.75">
      <c r="F2724" s="463"/>
      <c r="G2724" s="463"/>
    </row>
    <row r="2725" spans="6:7" ht="12.75">
      <c r="F2725" s="463"/>
      <c r="G2725" s="463"/>
    </row>
    <row r="2726" spans="6:7" ht="12.75">
      <c r="F2726" s="463"/>
      <c r="G2726" s="463"/>
    </row>
    <row r="2727" spans="6:7" ht="12.75">
      <c r="F2727" s="463"/>
      <c r="G2727" s="463"/>
    </row>
    <row r="2728" spans="6:7" ht="12.75">
      <c r="F2728" s="463"/>
      <c r="G2728" s="463"/>
    </row>
    <row r="2729" spans="6:7" ht="12.75">
      <c r="F2729" s="463"/>
      <c r="G2729" s="463"/>
    </row>
    <row r="2730" spans="6:7" ht="12.75">
      <c r="F2730" s="463"/>
      <c r="G2730" s="463"/>
    </row>
    <row r="2731" spans="6:7" ht="12.75">
      <c r="F2731" s="463"/>
      <c r="G2731" s="463"/>
    </row>
    <row r="2732" spans="6:7" ht="12.75">
      <c r="F2732" s="463"/>
      <c r="G2732" s="463"/>
    </row>
    <row r="2733" spans="6:7" ht="12.75">
      <c r="F2733" s="463"/>
      <c r="G2733" s="463"/>
    </row>
    <row r="2734" spans="6:7" ht="12.75">
      <c r="F2734" s="463"/>
      <c r="G2734" s="463"/>
    </row>
    <row r="2735" spans="6:7" ht="12.75">
      <c r="F2735" s="463"/>
      <c r="G2735" s="463"/>
    </row>
    <row r="2736" spans="6:7" ht="12.75">
      <c r="F2736" s="463"/>
      <c r="G2736" s="463"/>
    </row>
    <row r="2737" spans="6:7" ht="12.75">
      <c r="F2737" s="463"/>
      <c r="G2737" s="463"/>
    </row>
    <row r="2738" spans="6:7" ht="12.75">
      <c r="F2738" s="463"/>
      <c r="G2738" s="463"/>
    </row>
    <row r="2739" spans="6:7" ht="12.75">
      <c r="F2739" s="463"/>
      <c r="G2739" s="463"/>
    </row>
    <row r="2740" spans="6:7" ht="12.75">
      <c r="F2740" s="463"/>
      <c r="G2740" s="463"/>
    </row>
    <row r="2741" spans="6:7" ht="12.75">
      <c r="F2741" s="463"/>
      <c r="G2741" s="463"/>
    </row>
    <row r="2742" spans="6:7" ht="12.75">
      <c r="F2742" s="463"/>
      <c r="G2742" s="463"/>
    </row>
    <row r="2743" spans="6:7" ht="12.75">
      <c r="F2743" s="463"/>
      <c r="G2743" s="463"/>
    </row>
    <row r="2744" spans="6:7" ht="12.75">
      <c r="F2744" s="463"/>
      <c r="G2744" s="463"/>
    </row>
    <row r="2745" spans="6:7" ht="12.75">
      <c r="F2745" s="463"/>
      <c r="G2745" s="463"/>
    </row>
    <row r="2746" spans="6:7" ht="12.75">
      <c r="F2746" s="463"/>
      <c r="G2746" s="463"/>
    </row>
    <row r="2747" spans="6:7" ht="12.75">
      <c r="F2747" s="463"/>
      <c r="G2747" s="463"/>
    </row>
    <row r="2748" spans="6:7" ht="12.75">
      <c r="F2748" s="463"/>
      <c r="G2748" s="463"/>
    </row>
    <row r="2749" spans="6:7" ht="12.75">
      <c r="F2749" s="463"/>
      <c r="G2749" s="463"/>
    </row>
    <row r="2750" spans="6:7" ht="12.75">
      <c r="F2750" s="463"/>
      <c r="G2750" s="463"/>
    </row>
    <row r="2751" spans="6:7" ht="12.75">
      <c r="F2751" s="463"/>
      <c r="G2751" s="463"/>
    </row>
    <row r="2752" spans="6:7" ht="12.75">
      <c r="F2752" s="463"/>
      <c r="G2752" s="463"/>
    </row>
    <row r="2753" spans="6:7" ht="12.75">
      <c r="F2753" s="463"/>
      <c r="G2753" s="463"/>
    </row>
    <row r="2754" spans="6:7" ht="12.75">
      <c r="F2754" s="463"/>
      <c r="G2754" s="463"/>
    </row>
    <row r="2755" spans="6:7" ht="12.75">
      <c r="F2755" s="463"/>
      <c r="G2755" s="463"/>
    </row>
    <row r="2756" spans="6:7" ht="12.75">
      <c r="F2756" s="463"/>
      <c r="G2756" s="463"/>
    </row>
    <row r="2757" spans="6:7" ht="12.75">
      <c r="F2757" s="463"/>
      <c r="G2757" s="463"/>
    </row>
    <row r="2758" spans="6:7" ht="12.75">
      <c r="F2758" s="463"/>
      <c r="G2758" s="463"/>
    </row>
    <row r="2759" spans="6:7" ht="12.75">
      <c r="F2759" s="463"/>
      <c r="G2759" s="463"/>
    </row>
    <row r="2760" spans="6:7" ht="12.75">
      <c r="F2760" s="463"/>
      <c r="G2760" s="463"/>
    </row>
    <row r="2761" spans="6:7" ht="12.75">
      <c r="F2761" s="463"/>
      <c r="G2761" s="463"/>
    </row>
    <row r="2762" spans="6:7" ht="12.75">
      <c r="F2762" s="463"/>
      <c r="G2762" s="463"/>
    </row>
    <row r="2763" spans="6:7" ht="12.75">
      <c r="F2763" s="463"/>
      <c r="G2763" s="463"/>
    </row>
    <row r="2764" spans="6:7" ht="12.75">
      <c r="F2764" s="463"/>
      <c r="G2764" s="463"/>
    </row>
    <row r="2765" spans="6:7" ht="12.75">
      <c r="F2765" s="463"/>
      <c r="G2765" s="463"/>
    </row>
    <row r="2766" spans="6:7" ht="12.75">
      <c r="F2766" s="463"/>
      <c r="G2766" s="463"/>
    </row>
    <row r="2767" spans="6:7" ht="12.75">
      <c r="F2767" s="463"/>
      <c r="G2767" s="463"/>
    </row>
    <row r="2768" spans="6:7" ht="12.75">
      <c r="F2768" s="463"/>
      <c r="G2768" s="463"/>
    </row>
    <row r="2769" spans="6:7" ht="12.75">
      <c r="F2769" s="463"/>
      <c r="G2769" s="463"/>
    </row>
    <row r="2770" spans="6:7" ht="12.75">
      <c r="F2770" s="463"/>
      <c r="G2770" s="463"/>
    </row>
    <row r="2771" spans="6:7" ht="12.75">
      <c r="F2771" s="463"/>
      <c r="G2771" s="463"/>
    </row>
    <row r="2772" spans="6:7" ht="12.75">
      <c r="F2772" s="463"/>
      <c r="G2772" s="463"/>
    </row>
    <row r="2773" spans="6:7" ht="12.75">
      <c r="F2773" s="463"/>
      <c r="G2773" s="463"/>
    </row>
    <row r="2774" spans="6:7" ht="12.75">
      <c r="F2774" s="463"/>
      <c r="G2774" s="463"/>
    </row>
    <row r="2775" spans="6:7" ht="12.75">
      <c r="F2775" s="463"/>
      <c r="G2775" s="463"/>
    </row>
    <row r="2776" spans="6:7" ht="12.75">
      <c r="F2776" s="463"/>
      <c r="G2776" s="463"/>
    </row>
    <row r="2777" spans="6:7" ht="12.75">
      <c r="F2777" s="463"/>
      <c r="G2777" s="463"/>
    </row>
    <row r="2778" spans="6:7" ht="12.75">
      <c r="F2778" s="463"/>
      <c r="G2778" s="463"/>
    </row>
    <row r="2779" spans="6:7" ht="12.75">
      <c r="F2779" s="463"/>
      <c r="G2779" s="463"/>
    </row>
    <row r="2780" spans="6:7" ht="12.75">
      <c r="F2780" s="463"/>
      <c r="G2780" s="463"/>
    </row>
    <row r="2781" spans="6:7" ht="12.75">
      <c r="F2781" s="463"/>
      <c r="G2781" s="463"/>
    </row>
    <row r="2782" spans="6:7" ht="12.75">
      <c r="F2782" s="463"/>
      <c r="G2782" s="463"/>
    </row>
    <row r="2783" spans="6:7" ht="12.75">
      <c r="F2783" s="463"/>
      <c r="G2783" s="463"/>
    </row>
    <row r="2784" spans="6:7" ht="12.75">
      <c r="F2784" s="463"/>
      <c r="G2784" s="463"/>
    </row>
    <row r="2785" spans="6:7" ht="12.75">
      <c r="F2785" s="463"/>
      <c r="G2785" s="463"/>
    </row>
    <row r="2786" spans="6:7" ht="12.75">
      <c r="F2786" s="463"/>
      <c r="G2786" s="463"/>
    </row>
    <row r="2787" spans="6:7" ht="12.75">
      <c r="F2787" s="463"/>
      <c r="G2787" s="463"/>
    </row>
    <row r="2788" spans="6:7" ht="12.75">
      <c r="F2788" s="463"/>
      <c r="G2788" s="463"/>
    </row>
    <row r="2789" spans="6:7" ht="12.75">
      <c r="F2789" s="463"/>
      <c r="G2789" s="463"/>
    </row>
    <row r="2790" spans="6:7" ht="12.75">
      <c r="F2790" s="463"/>
      <c r="G2790" s="463"/>
    </row>
    <row r="2791" spans="6:7" ht="12.75">
      <c r="F2791" s="463"/>
      <c r="G2791" s="463"/>
    </row>
    <row r="2792" spans="6:7" ht="12.75">
      <c r="F2792" s="463"/>
      <c r="G2792" s="463"/>
    </row>
    <row r="2793" spans="6:7" ht="12.75">
      <c r="F2793" s="463"/>
      <c r="G2793" s="463"/>
    </row>
    <row r="2794" spans="6:7" ht="12.75">
      <c r="F2794" s="463"/>
      <c r="G2794" s="463"/>
    </row>
    <row r="2795" spans="6:7" ht="12.75">
      <c r="F2795" s="463"/>
      <c r="G2795" s="463"/>
    </row>
    <row r="2796" spans="6:7" ht="12.75">
      <c r="F2796" s="463"/>
      <c r="G2796" s="463"/>
    </row>
    <row r="2797" spans="6:7" ht="12.75">
      <c r="F2797" s="463"/>
      <c r="G2797" s="463"/>
    </row>
    <row r="2798" spans="6:7" ht="12.75">
      <c r="F2798" s="463"/>
      <c r="G2798" s="463"/>
    </row>
    <row r="2799" spans="6:7" ht="12.75">
      <c r="F2799" s="463"/>
      <c r="G2799" s="463"/>
    </row>
    <row r="2800" spans="6:7" ht="12.75">
      <c r="F2800" s="463"/>
      <c r="G2800" s="463"/>
    </row>
    <row r="2801" spans="6:7" ht="12.75">
      <c r="F2801" s="463"/>
      <c r="G2801" s="463"/>
    </row>
    <row r="2802" spans="6:7" ht="12.75">
      <c r="F2802" s="463"/>
      <c r="G2802" s="463"/>
    </row>
    <row r="2803" spans="6:7" ht="12.75">
      <c r="F2803" s="463"/>
      <c r="G2803" s="463"/>
    </row>
    <row r="2804" spans="6:7" ht="12.75">
      <c r="F2804" s="463"/>
      <c r="G2804" s="463"/>
    </row>
    <row r="2805" spans="6:7" ht="12.75">
      <c r="F2805" s="463"/>
      <c r="G2805" s="463"/>
    </row>
    <row r="2806" spans="6:7" ht="12.75">
      <c r="F2806" s="463"/>
      <c r="G2806" s="463"/>
    </row>
    <row r="2807" spans="6:7" ht="12.75">
      <c r="F2807" s="463"/>
      <c r="G2807" s="463"/>
    </row>
    <row r="2808" spans="6:7" ht="12.75">
      <c r="F2808" s="463"/>
      <c r="G2808" s="463"/>
    </row>
    <row r="2809" spans="6:7" ht="12.75">
      <c r="F2809" s="463"/>
      <c r="G2809" s="463"/>
    </row>
    <row r="2810" spans="6:7" ht="12.75">
      <c r="F2810" s="463"/>
      <c r="G2810" s="463"/>
    </row>
    <row r="2811" spans="6:7" ht="12.75">
      <c r="F2811" s="463"/>
      <c r="G2811" s="463"/>
    </row>
    <row r="2812" spans="6:7" ht="12.75">
      <c r="F2812" s="463"/>
      <c r="G2812" s="463"/>
    </row>
    <row r="2813" spans="6:7" ht="12.75">
      <c r="F2813" s="463"/>
      <c r="G2813" s="463"/>
    </row>
    <row r="2814" spans="6:7" ht="12.75">
      <c r="F2814" s="463"/>
      <c r="G2814" s="463"/>
    </row>
    <row r="2815" spans="6:7" ht="12.75">
      <c r="F2815" s="463"/>
      <c r="G2815" s="463"/>
    </row>
    <row r="2816" spans="6:7" ht="12.75">
      <c r="F2816" s="463"/>
      <c r="G2816" s="463"/>
    </row>
    <row r="2817" spans="6:7" ht="12.75">
      <c r="F2817" s="463"/>
      <c r="G2817" s="463"/>
    </row>
    <row r="2818" spans="6:7" ht="12.75">
      <c r="F2818" s="463"/>
      <c r="G2818" s="463"/>
    </row>
    <row r="2819" spans="6:7" ht="12.75">
      <c r="F2819" s="463"/>
      <c r="G2819" s="463"/>
    </row>
    <row r="2820" spans="6:7" ht="12.75">
      <c r="F2820" s="463"/>
      <c r="G2820" s="463"/>
    </row>
    <row r="2821" spans="6:7" ht="12.75">
      <c r="F2821" s="463"/>
      <c r="G2821" s="463"/>
    </row>
    <row r="2822" spans="6:7" ht="12.75">
      <c r="F2822" s="463"/>
      <c r="G2822" s="463"/>
    </row>
    <row r="2823" spans="6:7" ht="12.75">
      <c r="F2823" s="463"/>
      <c r="G2823" s="463"/>
    </row>
    <row r="2824" spans="6:7" ht="12.75">
      <c r="F2824" s="463"/>
      <c r="G2824" s="463"/>
    </row>
    <row r="2825" spans="6:7" ht="12.75">
      <c r="F2825" s="463"/>
      <c r="G2825" s="463"/>
    </row>
    <row r="2826" spans="6:7" ht="12.75">
      <c r="F2826" s="463"/>
      <c r="G2826" s="463"/>
    </row>
    <row r="2827" spans="6:7" ht="12.75">
      <c r="F2827" s="463"/>
      <c r="G2827" s="463"/>
    </row>
    <row r="2828" spans="6:7" ht="12.75">
      <c r="F2828" s="463"/>
      <c r="G2828" s="463"/>
    </row>
    <row r="2829" spans="6:7" ht="12.75">
      <c r="F2829" s="463"/>
      <c r="G2829" s="463"/>
    </row>
    <row r="2830" spans="6:7" ht="12.75">
      <c r="F2830" s="463"/>
      <c r="G2830" s="463"/>
    </row>
    <row r="2831" spans="6:7" ht="12.75">
      <c r="F2831" s="463"/>
      <c r="G2831" s="463"/>
    </row>
    <row r="2832" spans="6:7" ht="12.75">
      <c r="F2832" s="463"/>
      <c r="G2832" s="463"/>
    </row>
    <row r="2833" spans="6:7" ht="12.75">
      <c r="F2833" s="463"/>
      <c r="G2833" s="463"/>
    </row>
    <row r="2834" spans="6:7" ht="12.75">
      <c r="F2834" s="463"/>
      <c r="G2834" s="463"/>
    </row>
    <row r="2835" spans="6:7" ht="12.75">
      <c r="F2835" s="463"/>
      <c r="G2835" s="463"/>
    </row>
    <row r="2836" spans="6:7" ht="12.75">
      <c r="F2836" s="463"/>
      <c r="G2836" s="463"/>
    </row>
    <row r="2837" spans="6:7" ht="12.75">
      <c r="F2837" s="463"/>
      <c r="G2837" s="463"/>
    </row>
    <row r="2838" spans="6:7" ht="12.75">
      <c r="F2838" s="463"/>
      <c r="G2838" s="463"/>
    </row>
    <row r="2839" spans="6:7" ht="12.75">
      <c r="F2839" s="463"/>
      <c r="G2839" s="463"/>
    </row>
    <row r="2840" spans="6:7" ht="12.75">
      <c r="F2840" s="463"/>
      <c r="G2840" s="463"/>
    </row>
    <row r="2841" spans="6:7" ht="12.75">
      <c r="F2841" s="463"/>
      <c r="G2841" s="463"/>
    </row>
    <row r="2842" spans="6:7" ht="12.75">
      <c r="F2842" s="463"/>
      <c r="G2842" s="463"/>
    </row>
    <row r="2843" spans="6:7" ht="12.75">
      <c r="F2843" s="463"/>
      <c r="G2843" s="463"/>
    </row>
    <row r="2844" spans="6:7" ht="12.75">
      <c r="F2844" s="463"/>
      <c r="G2844" s="463"/>
    </row>
    <row r="2845" spans="6:7" ht="12.75">
      <c r="F2845" s="463"/>
      <c r="G2845" s="463"/>
    </row>
    <row r="2846" spans="6:7" ht="12.75">
      <c r="F2846" s="463"/>
      <c r="G2846" s="463"/>
    </row>
    <row r="2847" spans="6:7" ht="12.75">
      <c r="F2847" s="463"/>
      <c r="G2847" s="463"/>
    </row>
    <row r="2848" spans="6:7" ht="12.75">
      <c r="F2848" s="463"/>
      <c r="G2848" s="463"/>
    </row>
    <row r="2849" spans="6:7" ht="12.75">
      <c r="F2849" s="463"/>
      <c r="G2849" s="463"/>
    </row>
    <row r="2850" spans="6:7" ht="12.75">
      <c r="F2850" s="463"/>
      <c r="G2850" s="463"/>
    </row>
    <row r="2851" spans="6:7" ht="12.75">
      <c r="F2851" s="463"/>
      <c r="G2851" s="463"/>
    </row>
    <row r="2852" spans="6:7" ht="12.75">
      <c r="F2852" s="463"/>
      <c r="G2852" s="463"/>
    </row>
    <row r="2853" spans="6:7" ht="12.75">
      <c r="F2853" s="463"/>
      <c r="G2853" s="463"/>
    </row>
    <row r="2854" spans="6:7" ht="12.75">
      <c r="F2854" s="463"/>
      <c r="G2854" s="463"/>
    </row>
    <row r="2855" spans="6:7" ht="12.75">
      <c r="F2855" s="463"/>
      <c r="G2855" s="463"/>
    </row>
    <row r="2856" spans="6:7" ht="12.75">
      <c r="F2856" s="463"/>
      <c r="G2856" s="463"/>
    </row>
    <row r="2857" spans="6:7" ht="12.75">
      <c r="F2857" s="463"/>
      <c r="G2857" s="463"/>
    </row>
    <row r="2858" spans="6:7" ht="12.75">
      <c r="F2858" s="463"/>
      <c r="G2858" s="463"/>
    </row>
    <row r="2859" spans="6:7" ht="12.75">
      <c r="F2859" s="463"/>
      <c r="G2859" s="463"/>
    </row>
    <row r="2860" spans="6:7" ht="12.75">
      <c r="F2860" s="463"/>
      <c r="G2860" s="463"/>
    </row>
    <row r="2861" spans="6:7" ht="12.75">
      <c r="F2861" s="463"/>
      <c r="G2861" s="463"/>
    </row>
    <row r="2862" spans="6:7" ht="12.75">
      <c r="F2862" s="463"/>
      <c r="G2862" s="463"/>
    </row>
    <row r="2863" spans="6:7" ht="12.75">
      <c r="F2863" s="463"/>
      <c r="G2863" s="463"/>
    </row>
    <row r="2864" spans="6:7" ht="12.75">
      <c r="F2864" s="463"/>
      <c r="G2864" s="463"/>
    </row>
    <row r="2865" spans="6:7" ht="12.75">
      <c r="F2865" s="463"/>
      <c r="G2865" s="463"/>
    </row>
    <row r="2866" spans="6:7" ht="12.75">
      <c r="F2866" s="463"/>
      <c r="G2866" s="463"/>
    </row>
    <row r="2867" spans="6:7" ht="12.75">
      <c r="F2867" s="463"/>
      <c r="G2867" s="463"/>
    </row>
    <row r="2868" spans="6:7" ht="12.75">
      <c r="F2868" s="463"/>
      <c r="G2868" s="463"/>
    </row>
    <row r="2869" spans="6:7" ht="12.75">
      <c r="F2869" s="463"/>
      <c r="G2869" s="463"/>
    </row>
    <row r="2870" spans="6:7" ht="12.75">
      <c r="F2870" s="463"/>
      <c r="G2870" s="463"/>
    </row>
    <row r="2871" spans="6:7" ht="12.75">
      <c r="F2871" s="463"/>
      <c r="G2871" s="463"/>
    </row>
    <row r="2872" spans="6:7" ht="12.75">
      <c r="F2872" s="463"/>
      <c r="G2872" s="463"/>
    </row>
    <row r="2873" spans="6:7" ht="12.75">
      <c r="F2873" s="463"/>
      <c r="G2873" s="463"/>
    </row>
    <row r="2874" spans="6:7" ht="12.75">
      <c r="F2874" s="463"/>
      <c r="G2874" s="463"/>
    </row>
    <row r="2875" spans="6:7" ht="12.75">
      <c r="F2875" s="463"/>
      <c r="G2875" s="463"/>
    </row>
    <row r="2876" spans="6:7" ht="12.75">
      <c r="F2876" s="463"/>
      <c r="G2876" s="463"/>
    </row>
    <row r="2877" spans="6:7" ht="12.75">
      <c r="F2877" s="463"/>
      <c r="G2877" s="463"/>
    </row>
    <row r="2878" spans="6:7" ht="12.75">
      <c r="F2878" s="463"/>
      <c r="G2878" s="463"/>
    </row>
    <row r="2879" spans="6:7" ht="12.75">
      <c r="F2879" s="463"/>
      <c r="G2879" s="463"/>
    </row>
    <row r="2880" spans="6:7" ht="12.75">
      <c r="F2880" s="463"/>
      <c r="G2880" s="463"/>
    </row>
    <row r="2881" spans="6:7" ht="12.75">
      <c r="F2881" s="463"/>
      <c r="G2881" s="463"/>
    </row>
    <row r="2882" spans="6:7" ht="12.75">
      <c r="F2882" s="463"/>
      <c r="G2882" s="463"/>
    </row>
    <row r="2883" spans="6:7" ht="12.75">
      <c r="F2883" s="463"/>
      <c r="G2883" s="463"/>
    </row>
    <row r="2884" spans="6:7" ht="12.75">
      <c r="F2884" s="463"/>
      <c r="G2884" s="463"/>
    </row>
    <row r="2885" spans="6:7" ht="12.75">
      <c r="F2885" s="463"/>
      <c r="G2885" s="463"/>
    </row>
    <row r="2886" spans="6:7" ht="12.75">
      <c r="F2886" s="463"/>
      <c r="G2886" s="463"/>
    </row>
    <row r="2887" spans="6:7" ht="12.75">
      <c r="F2887" s="463"/>
      <c r="G2887" s="463"/>
    </row>
    <row r="2888" spans="6:7" ht="12.75">
      <c r="F2888" s="463"/>
      <c r="G2888" s="463"/>
    </row>
    <row r="2889" spans="6:7" ht="12.75">
      <c r="F2889" s="463"/>
      <c r="G2889" s="463"/>
    </row>
    <row r="2890" spans="6:7" ht="12.75">
      <c r="F2890" s="463"/>
      <c r="G2890" s="463"/>
    </row>
    <row r="2891" spans="6:7" ht="12.75">
      <c r="F2891" s="463"/>
      <c r="G2891" s="463"/>
    </row>
    <row r="2892" spans="6:7" ht="12.75">
      <c r="F2892" s="463"/>
      <c r="G2892" s="463"/>
    </row>
    <row r="2893" spans="6:7" ht="12.75">
      <c r="F2893" s="463"/>
      <c r="G2893" s="463"/>
    </row>
    <row r="2894" spans="6:7" ht="12.75">
      <c r="F2894" s="463"/>
      <c r="G2894" s="463"/>
    </row>
    <row r="2895" spans="6:7" ht="12.75">
      <c r="F2895" s="463"/>
      <c r="G2895" s="463"/>
    </row>
    <row r="2896" spans="6:7" ht="12.75">
      <c r="F2896" s="463"/>
      <c r="G2896" s="463"/>
    </row>
    <row r="2897" spans="6:7" ht="12.75">
      <c r="F2897" s="463"/>
      <c r="G2897" s="463"/>
    </row>
    <row r="2898" spans="6:7" ht="12.75">
      <c r="F2898" s="463"/>
      <c r="G2898" s="463"/>
    </row>
    <row r="2899" spans="6:7" ht="12.75">
      <c r="F2899" s="463"/>
      <c r="G2899" s="463"/>
    </row>
    <row r="2900" spans="6:7" ht="12.75">
      <c r="F2900" s="463"/>
      <c r="G2900" s="463"/>
    </row>
    <row r="2901" spans="6:7" ht="12.75">
      <c r="F2901" s="463"/>
      <c r="G2901" s="463"/>
    </row>
    <row r="2902" spans="6:7" ht="12.75">
      <c r="F2902" s="463"/>
      <c r="G2902" s="463"/>
    </row>
    <row r="2903" spans="6:7" ht="12.75">
      <c r="F2903" s="463"/>
      <c r="G2903" s="463"/>
    </row>
    <row r="2904" spans="6:7" ht="12.75">
      <c r="F2904" s="463"/>
      <c r="G2904" s="463"/>
    </row>
    <row r="2905" spans="6:7" ht="12.75">
      <c r="F2905" s="463"/>
      <c r="G2905" s="463"/>
    </row>
    <row r="2906" spans="6:7" ht="12.75">
      <c r="F2906" s="463"/>
      <c r="G2906" s="463"/>
    </row>
    <row r="2907" spans="6:7" ht="12.75">
      <c r="F2907" s="463"/>
      <c r="G2907" s="463"/>
    </row>
    <row r="2908" spans="6:7" ht="12.75">
      <c r="F2908" s="463"/>
      <c r="G2908" s="463"/>
    </row>
    <row r="2909" spans="6:7" ht="12.75">
      <c r="F2909" s="463"/>
      <c r="G2909" s="463"/>
    </row>
    <row r="2910" spans="6:7" ht="12.75">
      <c r="F2910" s="463"/>
      <c r="G2910" s="463"/>
    </row>
    <row r="2911" spans="6:7" ht="12.75">
      <c r="F2911" s="463"/>
      <c r="G2911" s="463"/>
    </row>
    <row r="2912" spans="6:7" ht="12.75">
      <c r="F2912" s="463"/>
      <c r="G2912" s="463"/>
    </row>
    <row r="2913" spans="6:7" ht="12.75">
      <c r="F2913" s="463"/>
      <c r="G2913" s="463"/>
    </row>
    <row r="2914" spans="6:7" ht="12.75">
      <c r="F2914" s="463"/>
      <c r="G2914" s="463"/>
    </row>
    <row r="2915" spans="6:7" ht="12.75">
      <c r="F2915" s="463"/>
      <c r="G2915" s="463"/>
    </row>
    <row r="2916" spans="6:7" ht="12.75">
      <c r="F2916" s="463"/>
      <c r="G2916" s="463"/>
    </row>
    <row r="2917" spans="6:7" ht="12.75">
      <c r="F2917" s="463"/>
      <c r="G2917" s="463"/>
    </row>
    <row r="2918" spans="6:7" ht="12.75">
      <c r="F2918" s="463"/>
      <c r="G2918" s="463"/>
    </row>
    <row r="2919" spans="6:7" ht="12.75">
      <c r="F2919" s="463"/>
      <c r="G2919" s="463"/>
    </row>
    <row r="2920" spans="6:7" ht="12.75">
      <c r="F2920" s="463"/>
      <c r="G2920" s="463"/>
    </row>
    <row r="2921" spans="6:7" ht="12.75">
      <c r="F2921" s="463"/>
      <c r="G2921" s="463"/>
    </row>
    <row r="2922" spans="6:7" ht="12.75">
      <c r="F2922" s="463"/>
      <c r="G2922" s="463"/>
    </row>
    <row r="2923" spans="6:7" ht="12.75">
      <c r="F2923" s="463"/>
      <c r="G2923" s="463"/>
    </row>
    <row r="2924" spans="6:7" ht="12.75">
      <c r="F2924" s="463"/>
      <c r="G2924" s="463"/>
    </row>
    <row r="2925" spans="6:7" ht="12.75">
      <c r="F2925" s="463"/>
      <c r="G2925" s="463"/>
    </row>
    <row r="2926" spans="6:7" ht="12.75">
      <c r="F2926" s="463"/>
      <c r="G2926" s="463"/>
    </row>
    <row r="2927" spans="6:7" ht="12.75">
      <c r="F2927" s="463"/>
      <c r="G2927" s="463"/>
    </row>
    <row r="2928" spans="6:7" ht="12.75">
      <c r="F2928" s="463"/>
      <c r="G2928" s="463"/>
    </row>
    <row r="2929" spans="6:7" ht="12.75">
      <c r="F2929" s="463"/>
      <c r="G2929" s="463"/>
    </row>
    <row r="2930" spans="6:7" ht="12.75">
      <c r="F2930" s="463"/>
      <c r="G2930" s="463"/>
    </row>
    <row r="2931" spans="6:7" ht="12.75">
      <c r="F2931" s="463"/>
      <c r="G2931" s="463"/>
    </row>
    <row r="2932" spans="6:7" ht="12.75">
      <c r="F2932" s="463"/>
      <c r="G2932" s="463"/>
    </row>
    <row r="2933" spans="6:7" ht="12.75">
      <c r="F2933" s="463"/>
      <c r="G2933" s="463"/>
    </row>
    <row r="2934" spans="6:7" ht="12.75">
      <c r="F2934" s="463"/>
      <c r="G2934" s="463"/>
    </row>
    <row r="2935" spans="6:7" ht="12.75">
      <c r="F2935" s="463"/>
      <c r="G2935" s="463"/>
    </row>
    <row r="2936" spans="6:7" ht="12.75">
      <c r="F2936" s="463"/>
      <c r="G2936" s="463"/>
    </row>
    <row r="2937" spans="6:7" ht="12.75">
      <c r="F2937" s="463"/>
      <c r="G2937" s="463"/>
    </row>
    <row r="2938" spans="6:7" ht="12.75">
      <c r="F2938" s="463"/>
      <c r="G2938" s="463"/>
    </row>
    <row r="2939" spans="6:7" ht="12.75">
      <c r="F2939" s="463"/>
      <c r="G2939" s="463"/>
    </row>
    <row r="2940" spans="6:7" ht="12.75">
      <c r="F2940" s="463"/>
      <c r="G2940" s="463"/>
    </row>
    <row r="2941" spans="6:7" ht="12.75">
      <c r="F2941" s="463"/>
      <c r="G2941" s="463"/>
    </row>
    <row r="2942" spans="6:7" ht="12.75">
      <c r="F2942" s="463"/>
      <c r="G2942" s="463"/>
    </row>
    <row r="2943" spans="6:7" ht="12.75">
      <c r="F2943" s="463"/>
      <c r="G2943" s="463"/>
    </row>
    <row r="2944" spans="6:7" ht="12.75">
      <c r="F2944" s="463"/>
      <c r="G2944" s="463"/>
    </row>
    <row r="2945" spans="6:7" ht="12.75">
      <c r="F2945" s="463"/>
      <c r="G2945" s="463"/>
    </row>
    <row r="2946" spans="6:7" ht="12.75">
      <c r="F2946" s="463"/>
      <c r="G2946" s="463"/>
    </row>
    <row r="2947" spans="6:7" ht="12.75">
      <c r="F2947" s="463"/>
      <c r="G2947" s="463"/>
    </row>
    <row r="2948" spans="6:7" ht="12.75">
      <c r="F2948" s="463"/>
      <c r="G2948" s="463"/>
    </row>
    <row r="2949" spans="6:7" ht="12.75">
      <c r="F2949" s="463"/>
      <c r="G2949" s="463"/>
    </row>
    <row r="2950" spans="6:7" ht="12.75">
      <c r="F2950" s="463"/>
      <c r="G2950" s="463"/>
    </row>
    <row r="2951" spans="6:7" ht="12.75">
      <c r="F2951" s="463"/>
      <c r="G2951" s="463"/>
    </row>
    <row r="2952" spans="6:7" ht="12.75">
      <c r="F2952" s="463"/>
      <c r="G2952" s="463"/>
    </row>
    <row r="2953" spans="6:7" ht="12.75">
      <c r="F2953" s="463"/>
      <c r="G2953" s="463"/>
    </row>
    <row r="2954" spans="6:7" ht="12.75">
      <c r="F2954" s="463"/>
      <c r="G2954" s="463"/>
    </row>
    <row r="2955" spans="6:7" ht="12.75">
      <c r="F2955" s="463"/>
      <c r="G2955" s="463"/>
    </row>
    <row r="2956" spans="6:7" ht="12.75">
      <c r="F2956" s="463"/>
      <c r="G2956" s="463"/>
    </row>
    <row r="2957" spans="6:7" ht="12.75">
      <c r="F2957" s="463"/>
      <c r="G2957" s="463"/>
    </row>
    <row r="2958" spans="6:7" ht="12.75">
      <c r="F2958" s="463"/>
      <c r="G2958" s="463"/>
    </row>
    <row r="2959" spans="6:7" ht="12.75">
      <c r="F2959" s="463"/>
      <c r="G2959" s="463"/>
    </row>
    <row r="2960" spans="6:7" ht="12.75">
      <c r="F2960" s="463"/>
      <c r="G2960" s="463"/>
    </row>
    <row r="2961" spans="6:7" ht="12.75">
      <c r="F2961" s="463"/>
      <c r="G2961" s="463"/>
    </row>
    <row r="2962" spans="6:7" ht="12.75">
      <c r="F2962" s="463"/>
      <c r="G2962" s="463"/>
    </row>
    <row r="2963" spans="6:7" ht="12.75">
      <c r="F2963" s="463"/>
      <c r="G2963" s="463"/>
    </row>
    <row r="2964" spans="6:7" ht="12.75">
      <c r="F2964" s="463"/>
      <c r="G2964" s="463"/>
    </row>
    <row r="2965" spans="6:7" ht="12.75">
      <c r="F2965" s="463"/>
      <c r="G2965" s="463"/>
    </row>
    <row r="2966" spans="6:7" ht="12.75">
      <c r="F2966" s="463"/>
      <c r="G2966" s="463"/>
    </row>
    <row r="2967" spans="6:7" ht="12.75">
      <c r="F2967" s="463"/>
      <c r="G2967" s="463"/>
    </row>
    <row r="2968" spans="6:7" ht="12.75">
      <c r="F2968" s="463"/>
      <c r="G2968" s="463"/>
    </row>
    <row r="2969" spans="6:7" ht="12.75">
      <c r="F2969" s="463"/>
      <c r="G2969" s="463"/>
    </row>
    <row r="2970" spans="6:7" ht="12.75">
      <c r="F2970" s="463"/>
      <c r="G2970" s="463"/>
    </row>
    <row r="2971" spans="6:7" ht="12.75">
      <c r="F2971" s="463"/>
      <c r="G2971" s="463"/>
    </row>
    <row r="2972" spans="6:7" ht="12.75">
      <c r="F2972" s="463"/>
      <c r="G2972" s="463"/>
    </row>
    <row r="2973" spans="6:7" ht="12.75">
      <c r="F2973" s="463"/>
      <c r="G2973" s="463"/>
    </row>
    <row r="2974" spans="6:7" ht="12.75">
      <c r="F2974" s="463"/>
      <c r="G2974" s="463"/>
    </row>
    <row r="2975" spans="6:7" ht="12.75">
      <c r="F2975" s="463"/>
      <c r="G2975" s="463"/>
    </row>
    <row r="2976" spans="6:7" ht="12.75">
      <c r="F2976" s="463"/>
      <c r="G2976" s="463"/>
    </row>
    <row r="2977" spans="6:7" ht="12.75">
      <c r="F2977" s="463"/>
      <c r="G2977" s="463"/>
    </row>
    <row r="2978" spans="6:7" ht="12.75">
      <c r="F2978" s="463"/>
      <c r="G2978" s="463"/>
    </row>
    <row r="2979" spans="6:7" ht="12.75">
      <c r="F2979" s="463"/>
      <c r="G2979" s="463"/>
    </row>
    <row r="2980" spans="6:7" ht="12.75">
      <c r="F2980" s="463"/>
      <c r="G2980" s="463"/>
    </row>
    <row r="2981" spans="6:7" ht="12.75">
      <c r="F2981" s="463"/>
      <c r="G2981" s="463"/>
    </row>
    <row r="2982" spans="6:7" ht="12.75">
      <c r="F2982" s="463"/>
      <c r="G2982" s="463"/>
    </row>
    <row r="2983" spans="6:7" ht="12.75">
      <c r="F2983" s="463"/>
      <c r="G2983" s="463"/>
    </row>
    <row r="2984" spans="6:7" ht="12.75">
      <c r="F2984" s="463"/>
      <c r="G2984" s="463"/>
    </row>
    <row r="2985" spans="6:7" ht="12.75">
      <c r="F2985" s="463"/>
      <c r="G2985" s="463"/>
    </row>
    <row r="2986" spans="6:7" ht="12.75">
      <c r="F2986" s="463"/>
      <c r="G2986" s="463"/>
    </row>
    <row r="2987" spans="6:7" ht="12.75">
      <c r="F2987" s="463"/>
      <c r="G2987" s="463"/>
    </row>
    <row r="2988" spans="6:7" ht="12.75">
      <c r="F2988" s="463"/>
      <c r="G2988" s="463"/>
    </row>
    <row r="2989" spans="6:7" ht="12.75">
      <c r="F2989" s="463"/>
      <c r="G2989" s="463"/>
    </row>
    <row r="2990" spans="6:7" ht="12.75">
      <c r="F2990" s="463"/>
      <c r="G2990" s="463"/>
    </row>
    <row r="2991" spans="6:7" ht="12.75">
      <c r="F2991" s="463"/>
      <c r="G2991" s="463"/>
    </row>
    <row r="2992" spans="6:7" ht="12.75">
      <c r="F2992" s="463"/>
      <c r="G2992" s="463"/>
    </row>
    <row r="2993" spans="6:7" ht="12.75">
      <c r="F2993" s="463"/>
      <c r="G2993" s="463"/>
    </row>
    <row r="2994" spans="6:7" ht="12.75">
      <c r="F2994" s="463"/>
      <c r="G2994" s="463"/>
    </row>
    <row r="2995" spans="6:7" ht="12.75">
      <c r="F2995" s="463"/>
      <c r="G2995" s="463"/>
    </row>
    <row r="2996" spans="6:7" ht="12.75">
      <c r="F2996" s="463"/>
      <c r="G2996" s="463"/>
    </row>
    <row r="2997" spans="6:7" ht="12.75">
      <c r="F2997" s="463"/>
      <c r="G2997" s="463"/>
    </row>
    <row r="2998" spans="6:7" ht="12.75">
      <c r="F2998" s="463"/>
      <c r="G2998" s="463"/>
    </row>
    <row r="2999" spans="6:7" ht="12.75">
      <c r="F2999" s="463"/>
      <c r="G2999" s="463"/>
    </row>
    <row r="3000" spans="6:7" ht="12.75">
      <c r="F3000" s="463"/>
      <c r="G3000" s="463"/>
    </row>
    <row r="3001" spans="6:7" ht="12.75">
      <c r="F3001" s="463"/>
      <c r="G3001" s="463"/>
    </row>
    <row r="3002" spans="6:7" ht="12.75">
      <c r="F3002" s="463"/>
      <c r="G3002" s="463"/>
    </row>
    <row r="3003" spans="6:7" ht="12.75">
      <c r="F3003" s="463"/>
      <c r="G3003" s="463"/>
    </row>
    <row r="3004" spans="6:7" ht="12.75">
      <c r="F3004" s="463"/>
      <c r="G3004" s="463"/>
    </row>
    <row r="3005" spans="6:7" ht="12.75">
      <c r="F3005" s="463"/>
      <c r="G3005" s="463"/>
    </row>
    <row r="3006" spans="6:7" ht="12.75">
      <c r="F3006" s="463"/>
      <c r="G3006" s="463"/>
    </row>
    <row r="3007" spans="6:7" ht="12.75">
      <c r="F3007" s="463"/>
      <c r="G3007" s="463"/>
    </row>
    <row r="3008" spans="6:7" ht="12.75">
      <c r="F3008" s="463"/>
      <c r="G3008" s="463"/>
    </row>
    <row r="3009" spans="6:7" ht="12.75">
      <c r="F3009" s="463"/>
      <c r="G3009" s="463"/>
    </row>
    <row r="3010" spans="6:7" ht="12.75">
      <c r="F3010" s="463"/>
      <c r="G3010" s="463"/>
    </row>
    <row r="3011" spans="6:7" ht="12.75">
      <c r="F3011" s="463"/>
      <c r="G3011" s="463"/>
    </row>
    <row r="3012" spans="6:7" ht="12.75">
      <c r="F3012" s="463"/>
      <c r="G3012" s="463"/>
    </row>
    <row r="3013" spans="6:7" ht="12.75">
      <c r="F3013" s="463"/>
      <c r="G3013" s="463"/>
    </row>
    <row r="3014" spans="6:7" ht="12.75">
      <c r="F3014" s="463"/>
      <c r="G3014" s="463"/>
    </row>
    <row r="3015" spans="6:7" ht="12.75">
      <c r="F3015" s="463"/>
      <c r="G3015" s="463"/>
    </row>
    <row r="3016" spans="6:7" ht="12.75">
      <c r="F3016" s="463"/>
      <c r="G3016" s="463"/>
    </row>
    <row r="3017" spans="6:7" ht="12.75">
      <c r="F3017" s="463"/>
      <c r="G3017" s="463"/>
    </row>
    <row r="3018" spans="6:7" ht="12.75">
      <c r="F3018" s="463"/>
      <c r="G3018" s="463"/>
    </row>
    <row r="3019" spans="6:7" ht="12.75">
      <c r="F3019" s="463"/>
      <c r="G3019" s="463"/>
    </row>
    <row r="3020" spans="6:7" ht="12.75">
      <c r="F3020" s="463"/>
      <c r="G3020" s="463"/>
    </row>
    <row r="3021" spans="6:7" ht="12.75">
      <c r="F3021" s="463"/>
      <c r="G3021" s="463"/>
    </row>
    <row r="3022" spans="6:7" ht="12.75">
      <c r="F3022" s="463"/>
      <c r="G3022" s="463"/>
    </row>
    <row r="3023" spans="6:7" ht="12.75">
      <c r="F3023" s="463"/>
      <c r="G3023" s="463"/>
    </row>
    <row r="3024" spans="6:7" ht="12.75">
      <c r="F3024" s="463"/>
      <c r="G3024" s="463"/>
    </row>
    <row r="3025" spans="6:7" ht="12.75">
      <c r="F3025" s="463"/>
      <c r="G3025" s="463"/>
    </row>
    <row r="3026" spans="6:7" ht="12.75">
      <c r="F3026" s="463"/>
      <c r="G3026" s="463"/>
    </row>
    <row r="3027" spans="6:7" ht="12.75">
      <c r="F3027" s="463"/>
      <c r="G3027" s="463"/>
    </row>
    <row r="3028" spans="6:7" ht="12.75">
      <c r="F3028" s="463"/>
      <c r="G3028" s="463"/>
    </row>
    <row r="3029" spans="6:7" ht="12.75">
      <c r="F3029" s="463"/>
      <c r="G3029" s="463"/>
    </row>
    <row r="3030" spans="6:7" ht="12.75">
      <c r="F3030" s="463"/>
      <c r="G3030" s="463"/>
    </row>
    <row r="3031" spans="6:7" ht="12.75">
      <c r="F3031" s="463"/>
      <c r="G3031" s="463"/>
    </row>
    <row r="3032" spans="6:7" ht="12.75">
      <c r="F3032" s="463"/>
      <c r="G3032" s="463"/>
    </row>
    <row r="3033" spans="6:7" ht="12.75">
      <c r="F3033" s="463"/>
      <c r="G3033" s="463"/>
    </row>
    <row r="3034" spans="6:7" ht="12.75">
      <c r="F3034" s="463"/>
      <c r="G3034" s="463"/>
    </row>
    <row r="3035" spans="6:7" ht="12.75">
      <c r="F3035" s="463"/>
      <c r="G3035" s="463"/>
    </row>
    <row r="3036" spans="6:7" ht="12.75">
      <c r="F3036" s="463"/>
      <c r="G3036" s="463"/>
    </row>
    <row r="3037" spans="6:7" ht="12.75">
      <c r="F3037" s="463"/>
      <c r="G3037" s="463"/>
    </row>
    <row r="3038" spans="6:7" ht="12.75">
      <c r="F3038" s="463"/>
      <c r="G3038" s="463"/>
    </row>
    <row r="3039" spans="6:7" ht="12.75">
      <c r="F3039" s="463"/>
      <c r="G3039" s="463"/>
    </row>
    <row r="3040" spans="6:7" ht="12.75">
      <c r="F3040" s="463"/>
      <c r="G3040" s="463"/>
    </row>
    <row r="3041" spans="6:7" ht="12.75">
      <c r="F3041" s="463"/>
      <c r="G3041" s="463"/>
    </row>
    <row r="3042" spans="6:7" ht="12.75">
      <c r="F3042" s="463"/>
      <c r="G3042" s="463"/>
    </row>
    <row r="3043" spans="6:7" ht="12.75">
      <c r="F3043" s="463"/>
      <c r="G3043" s="463"/>
    </row>
    <row r="3044" spans="6:7" ht="12.75">
      <c r="F3044" s="463"/>
      <c r="G3044" s="463"/>
    </row>
    <row r="3045" spans="6:7" ht="12.75">
      <c r="F3045" s="463"/>
      <c r="G3045" s="463"/>
    </row>
    <row r="3046" spans="6:7" ht="12.75">
      <c r="F3046" s="463"/>
      <c r="G3046" s="463"/>
    </row>
    <row r="3047" spans="6:7" ht="12.75">
      <c r="F3047" s="463"/>
      <c r="G3047" s="463"/>
    </row>
    <row r="3048" spans="6:7" ht="12.75">
      <c r="F3048" s="463"/>
      <c r="G3048" s="463"/>
    </row>
    <row r="3049" spans="6:7" ht="12.75">
      <c r="F3049" s="463"/>
      <c r="G3049" s="463"/>
    </row>
    <row r="3050" spans="6:7" ht="12.75">
      <c r="F3050" s="463"/>
      <c r="G3050" s="463"/>
    </row>
    <row r="3051" spans="6:7" ht="12.75">
      <c r="F3051" s="463"/>
      <c r="G3051" s="463"/>
    </row>
    <row r="3052" spans="6:7" ht="12.75">
      <c r="F3052" s="463"/>
      <c r="G3052" s="463"/>
    </row>
    <row r="3053" spans="6:7" ht="12.75">
      <c r="F3053" s="463"/>
      <c r="G3053" s="463"/>
    </row>
    <row r="3054" spans="6:7" ht="12.75">
      <c r="F3054" s="463"/>
      <c r="G3054" s="463"/>
    </row>
    <row r="3055" spans="6:7" ht="12.75">
      <c r="F3055" s="463"/>
      <c r="G3055" s="463"/>
    </row>
    <row r="3056" spans="6:7" ht="12.75">
      <c r="F3056" s="463"/>
      <c r="G3056" s="463"/>
    </row>
    <row r="3057" spans="6:7" ht="12.75">
      <c r="F3057" s="463"/>
      <c r="G3057" s="463"/>
    </row>
    <row r="3058" spans="6:7" ht="12.75">
      <c r="F3058" s="463"/>
      <c r="G3058" s="463"/>
    </row>
    <row r="3059" spans="6:7" ht="12.75">
      <c r="F3059" s="463"/>
      <c r="G3059" s="463"/>
    </row>
    <row r="3060" spans="6:7" ht="12.75">
      <c r="F3060" s="463"/>
      <c r="G3060" s="463"/>
    </row>
    <row r="3061" spans="6:7" ht="12.75">
      <c r="F3061" s="463"/>
      <c r="G3061" s="463"/>
    </row>
    <row r="3062" spans="6:7" ht="12.75">
      <c r="F3062" s="463"/>
      <c r="G3062" s="463"/>
    </row>
    <row r="3063" spans="6:7" ht="12.75">
      <c r="F3063" s="463"/>
      <c r="G3063" s="463"/>
    </row>
    <row r="3064" spans="6:7" ht="12.75">
      <c r="F3064" s="463"/>
      <c r="G3064" s="463"/>
    </row>
    <row r="3065" spans="6:7" ht="12.75">
      <c r="F3065" s="463"/>
      <c r="G3065" s="463"/>
    </row>
    <row r="3066" spans="6:7" ht="12.75">
      <c r="F3066" s="463"/>
      <c r="G3066" s="463"/>
    </row>
    <row r="3067" spans="6:7" ht="12.75">
      <c r="F3067" s="463"/>
      <c r="G3067" s="463"/>
    </row>
    <row r="3068" spans="6:7" ht="12.75">
      <c r="F3068" s="463"/>
      <c r="G3068" s="463"/>
    </row>
    <row r="3069" spans="6:7" ht="12.75">
      <c r="F3069" s="463"/>
      <c r="G3069" s="463"/>
    </row>
    <row r="3070" spans="6:7" ht="12.75">
      <c r="F3070" s="463"/>
      <c r="G3070" s="463"/>
    </row>
    <row r="3071" spans="6:7" ht="12.75">
      <c r="F3071" s="463"/>
      <c r="G3071" s="463"/>
    </row>
    <row r="3072" spans="6:7" ht="12.75">
      <c r="F3072" s="463"/>
      <c r="G3072" s="463"/>
    </row>
    <row r="3073" spans="6:7" ht="12.75">
      <c r="F3073" s="463"/>
      <c r="G3073" s="463"/>
    </row>
    <row r="3074" spans="6:7" ht="12.75">
      <c r="F3074" s="463"/>
      <c r="G3074" s="463"/>
    </row>
    <row r="3075" spans="6:7" ht="12.75">
      <c r="F3075" s="463"/>
      <c r="G3075" s="463"/>
    </row>
    <row r="3076" spans="6:7" ht="12.75">
      <c r="F3076" s="463"/>
      <c r="G3076" s="463"/>
    </row>
    <row r="3077" spans="6:7" ht="12.75">
      <c r="F3077" s="463"/>
      <c r="G3077" s="463"/>
    </row>
    <row r="3078" spans="6:7" ht="12.75">
      <c r="F3078" s="463"/>
      <c r="G3078" s="463"/>
    </row>
    <row r="3079" spans="6:7" ht="12.75">
      <c r="F3079" s="463"/>
      <c r="G3079" s="463"/>
    </row>
    <row r="3080" spans="6:7" ht="12.75">
      <c r="F3080" s="463"/>
      <c r="G3080" s="463"/>
    </row>
    <row r="3081" spans="6:7" ht="12.75">
      <c r="F3081" s="463"/>
      <c r="G3081" s="463"/>
    </row>
    <row r="3082" spans="6:7" ht="12.75">
      <c r="F3082" s="463"/>
      <c r="G3082" s="463"/>
    </row>
    <row r="3083" spans="6:7" ht="12.75">
      <c r="F3083" s="463"/>
      <c r="G3083" s="463"/>
    </row>
    <row r="3084" spans="6:7" ht="12.75">
      <c r="F3084" s="463"/>
      <c r="G3084" s="463"/>
    </row>
    <row r="3085" spans="6:7" ht="12.75">
      <c r="F3085" s="463"/>
      <c r="G3085" s="463"/>
    </row>
    <row r="3086" spans="6:7" ht="12.75">
      <c r="F3086" s="463"/>
      <c r="G3086" s="463"/>
    </row>
    <row r="3087" spans="6:7" ht="12.75">
      <c r="F3087" s="463"/>
      <c r="G3087" s="463"/>
    </row>
    <row r="3088" spans="6:7" ht="12.75">
      <c r="F3088" s="463"/>
      <c r="G3088" s="463"/>
    </row>
    <row r="3089" spans="6:7" ht="12.75">
      <c r="F3089" s="463"/>
      <c r="G3089" s="463"/>
    </row>
    <row r="3090" spans="6:7" ht="12.75">
      <c r="F3090" s="463"/>
      <c r="G3090" s="463"/>
    </row>
    <row r="3091" spans="6:7" ht="12.75">
      <c r="F3091" s="463"/>
      <c r="G3091" s="463"/>
    </row>
    <row r="3092" spans="6:7" ht="12.75">
      <c r="F3092" s="463"/>
      <c r="G3092" s="463"/>
    </row>
    <row r="3093" spans="6:7" ht="12.75">
      <c r="F3093" s="463"/>
      <c r="G3093" s="463"/>
    </row>
    <row r="3094" spans="6:7" ht="12.75">
      <c r="F3094" s="463"/>
      <c r="G3094" s="463"/>
    </row>
    <row r="3095" spans="6:7" ht="12.75">
      <c r="F3095" s="463"/>
      <c r="G3095" s="463"/>
    </row>
    <row r="3096" spans="6:7" ht="12.75">
      <c r="F3096" s="463"/>
      <c r="G3096" s="463"/>
    </row>
    <row r="3097" spans="6:7" ht="12.75">
      <c r="F3097" s="463"/>
      <c r="G3097" s="463"/>
    </row>
    <row r="3098" spans="6:7" ht="12.75">
      <c r="F3098" s="463"/>
      <c r="G3098" s="463"/>
    </row>
    <row r="3099" spans="6:7" ht="12.75">
      <c r="F3099" s="463"/>
      <c r="G3099" s="463"/>
    </row>
    <row r="3100" spans="6:7" ht="12.75">
      <c r="F3100" s="463"/>
      <c r="G3100" s="463"/>
    </row>
    <row r="3101" spans="6:7" ht="12.75">
      <c r="F3101" s="463"/>
      <c r="G3101" s="463"/>
    </row>
    <row r="3102" spans="6:7" ht="12.75">
      <c r="F3102" s="463"/>
      <c r="G3102" s="463"/>
    </row>
    <row r="3103" spans="6:7" ht="12.75">
      <c r="F3103" s="463"/>
      <c r="G3103" s="463"/>
    </row>
    <row r="3104" spans="6:7" ht="12.75">
      <c r="F3104" s="463"/>
      <c r="G3104" s="463"/>
    </row>
    <row r="3105" spans="6:7" ht="12.75">
      <c r="F3105" s="463"/>
      <c r="G3105" s="463"/>
    </row>
    <row r="3106" spans="6:7" ht="12.75">
      <c r="F3106" s="463"/>
      <c r="G3106" s="463"/>
    </row>
    <row r="3107" spans="6:7" ht="12.75">
      <c r="F3107" s="463"/>
      <c r="G3107" s="463"/>
    </row>
    <row r="3108" spans="6:7" ht="12.75">
      <c r="F3108" s="463"/>
      <c r="G3108" s="463"/>
    </row>
    <row r="3109" spans="6:7" ht="12.75">
      <c r="F3109" s="463"/>
      <c r="G3109" s="463"/>
    </row>
    <row r="3110" spans="6:7" ht="12.75">
      <c r="F3110" s="463"/>
      <c r="G3110" s="463"/>
    </row>
    <row r="3111" spans="6:7" ht="12.75">
      <c r="F3111" s="463"/>
      <c r="G3111" s="463"/>
    </row>
    <row r="3112" spans="6:7" ht="12.75">
      <c r="F3112" s="463"/>
      <c r="G3112" s="463"/>
    </row>
    <row r="3113" spans="6:7" ht="12.75">
      <c r="F3113" s="463"/>
      <c r="G3113" s="463"/>
    </row>
    <row r="3114" spans="6:7" ht="12.75">
      <c r="F3114" s="463"/>
      <c r="G3114" s="463"/>
    </row>
    <row r="3115" spans="6:7" ht="12.75">
      <c r="F3115" s="463"/>
      <c r="G3115" s="463"/>
    </row>
    <row r="3116" spans="6:7" ht="12.75">
      <c r="F3116" s="463"/>
      <c r="G3116" s="463"/>
    </row>
    <row r="3117" spans="6:7" ht="12.75">
      <c r="F3117" s="463"/>
      <c r="G3117" s="463"/>
    </row>
    <row r="3118" spans="6:7" ht="12.75">
      <c r="F3118" s="463"/>
      <c r="G3118" s="463"/>
    </row>
    <row r="3119" spans="6:7" ht="12.75">
      <c r="F3119" s="463"/>
      <c r="G3119" s="463"/>
    </row>
    <row r="3120" spans="6:7" ht="12.75">
      <c r="F3120" s="463"/>
      <c r="G3120" s="463"/>
    </row>
    <row r="3121" spans="6:7" ht="12.75">
      <c r="F3121" s="463"/>
      <c r="G3121" s="463"/>
    </row>
    <row r="3122" spans="6:7" ht="12.75">
      <c r="F3122" s="463"/>
      <c r="G3122" s="463"/>
    </row>
    <row r="3123" spans="6:7" ht="12.75">
      <c r="F3123" s="463"/>
      <c r="G3123" s="463"/>
    </row>
    <row r="3124" spans="6:7" ht="12.75">
      <c r="F3124" s="463"/>
      <c r="G3124" s="463"/>
    </row>
    <row r="3125" spans="6:7" ht="12.75">
      <c r="F3125" s="463"/>
      <c r="G3125" s="463"/>
    </row>
    <row r="3126" spans="6:7" ht="12.75">
      <c r="F3126" s="463"/>
      <c r="G3126" s="463"/>
    </row>
    <row r="3127" spans="6:7" ht="12.75">
      <c r="F3127" s="463"/>
      <c r="G3127" s="463"/>
    </row>
    <row r="3128" spans="6:7" ht="12.75">
      <c r="F3128" s="463"/>
      <c r="G3128" s="463"/>
    </row>
    <row r="3129" spans="6:7" ht="12.75">
      <c r="F3129" s="463"/>
      <c r="G3129" s="463"/>
    </row>
    <row r="3130" spans="6:7" ht="12.75">
      <c r="F3130" s="463"/>
      <c r="G3130" s="463"/>
    </row>
    <row r="3131" spans="6:7" ht="12.75">
      <c r="F3131" s="463"/>
      <c r="G3131" s="463"/>
    </row>
    <row r="3132" spans="6:7" ht="12.75">
      <c r="F3132" s="463"/>
      <c r="G3132" s="463"/>
    </row>
    <row r="3133" spans="6:7" ht="12.75">
      <c r="F3133" s="463"/>
      <c r="G3133" s="463"/>
    </row>
    <row r="3134" spans="6:7" ht="12.75">
      <c r="F3134" s="463"/>
      <c r="G3134" s="463"/>
    </row>
    <row r="3135" spans="6:7" ht="12.75">
      <c r="F3135" s="463"/>
      <c r="G3135" s="463"/>
    </row>
    <row r="3136" spans="6:7" ht="12.75">
      <c r="F3136" s="463"/>
      <c r="G3136" s="463"/>
    </row>
    <row r="3137" spans="6:7" ht="12.75">
      <c r="F3137" s="463"/>
      <c r="G3137" s="463"/>
    </row>
    <row r="3138" spans="6:7" ht="12.75">
      <c r="F3138" s="463"/>
      <c r="G3138" s="463"/>
    </row>
    <row r="3139" spans="6:7" ht="12.75">
      <c r="F3139" s="463"/>
      <c r="G3139" s="463"/>
    </row>
    <row r="3140" spans="6:7" ht="12.75">
      <c r="F3140" s="463"/>
      <c r="G3140" s="463"/>
    </row>
    <row r="3141" spans="6:7" ht="12.75">
      <c r="F3141" s="463"/>
      <c r="G3141" s="463"/>
    </row>
    <row r="3142" spans="6:7" ht="12.75">
      <c r="F3142" s="463"/>
      <c r="G3142" s="463"/>
    </row>
    <row r="3143" spans="6:7" ht="12.75">
      <c r="F3143" s="463"/>
      <c r="G3143" s="463"/>
    </row>
    <row r="3144" spans="6:7" ht="12.75">
      <c r="F3144" s="463"/>
      <c r="G3144" s="463"/>
    </row>
    <row r="3145" spans="6:7" ht="12.75">
      <c r="F3145" s="463"/>
      <c r="G3145" s="463"/>
    </row>
    <row r="3146" spans="6:7" ht="12.75">
      <c r="F3146" s="463"/>
      <c r="G3146" s="463"/>
    </row>
    <row r="3147" spans="6:7" ht="12.75">
      <c r="F3147" s="463"/>
      <c r="G3147" s="463"/>
    </row>
    <row r="3148" spans="6:7" ht="12.75">
      <c r="F3148" s="463"/>
      <c r="G3148" s="463"/>
    </row>
    <row r="3149" spans="6:7" ht="12.75">
      <c r="F3149" s="463"/>
      <c r="G3149" s="463"/>
    </row>
    <row r="3150" spans="6:7" ht="12.75">
      <c r="F3150" s="463"/>
      <c r="G3150" s="463"/>
    </row>
    <row r="3151" spans="6:7" ht="12.75">
      <c r="F3151" s="463"/>
      <c r="G3151" s="463"/>
    </row>
    <row r="3152" spans="6:7" ht="12.75">
      <c r="F3152" s="463"/>
      <c r="G3152" s="463"/>
    </row>
    <row r="3153" spans="6:7" ht="12.75">
      <c r="F3153" s="463"/>
      <c r="G3153" s="463"/>
    </row>
    <row r="3154" spans="6:7" ht="12.75">
      <c r="F3154" s="463"/>
      <c r="G3154" s="463"/>
    </row>
    <row r="3155" spans="6:7" ht="12.75">
      <c r="F3155" s="463"/>
      <c r="G3155" s="463"/>
    </row>
    <row r="3156" spans="6:7" ht="12.75">
      <c r="F3156" s="463"/>
      <c r="G3156" s="463"/>
    </row>
    <row r="3157" spans="6:7" ht="12.75">
      <c r="F3157" s="463"/>
      <c r="G3157" s="463"/>
    </row>
    <row r="3158" spans="6:7" ht="12.75">
      <c r="F3158" s="463"/>
      <c r="G3158" s="463"/>
    </row>
    <row r="3159" spans="6:7" ht="12.75">
      <c r="F3159" s="463"/>
      <c r="G3159" s="463"/>
    </row>
    <row r="3160" spans="6:7" ht="12.75">
      <c r="F3160" s="463"/>
      <c r="G3160" s="463"/>
    </row>
    <row r="3161" spans="6:7" ht="12.75">
      <c r="F3161" s="463"/>
      <c r="G3161" s="463"/>
    </row>
    <row r="3162" spans="6:7" ht="12.75">
      <c r="F3162" s="463"/>
      <c r="G3162" s="463"/>
    </row>
    <row r="3163" spans="6:7" ht="12.75">
      <c r="F3163" s="463"/>
      <c r="G3163" s="463"/>
    </row>
    <row r="3164" spans="6:7" ht="12.75">
      <c r="F3164" s="463"/>
      <c r="G3164" s="463"/>
    </row>
    <row r="3165" spans="6:7" ht="12.75">
      <c r="F3165" s="463"/>
      <c r="G3165" s="463"/>
    </row>
    <row r="3166" spans="6:7" ht="12.75">
      <c r="F3166" s="463"/>
      <c r="G3166" s="463"/>
    </row>
    <row r="3167" spans="6:7" ht="12.75">
      <c r="F3167" s="463"/>
      <c r="G3167" s="463"/>
    </row>
    <row r="3168" spans="6:7" ht="12.75">
      <c r="F3168" s="463"/>
      <c r="G3168" s="463"/>
    </row>
    <row r="3169" spans="6:7" ht="12.75">
      <c r="F3169" s="463"/>
      <c r="G3169" s="463"/>
    </row>
    <row r="3170" spans="6:7" ht="12.75">
      <c r="F3170" s="463"/>
      <c r="G3170" s="463"/>
    </row>
    <row r="3171" spans="6:7" ht="12.75">
      <c r="F3171" s="463"/>
      <c r="G3171" s="463"/>
    </row>
    <row r="3172" spans="6:7" ht="12.75">
      <c r="F3172" s="463"/>
      <c r="G3172" s="463"/>
    </row>
    <row r="3173" spans="6:7" ht="12.75">
      <c r="F3173" s="463"/>
      <c r="G3173" s="463"/>
    </row>
    <row r="3174" spans="6:7" ht="12.75">
      <c r="F3174" s="463"/>
      <c r="G3174" s="463"/>
    </row>
    <row r="3175" spans="6:7" ht="12.75">
      <c r="F3175" s="463"/>
      <c r="G3175" s="463"/>
    </row>
    <row r="3176" spans="6:7" ht="12.75">
      <c r="F3176" s="463"/>
      <c r="G3176" s="463"/>
    </row>
    <row r="3177" spans="6:7" ht="12.75">
      <c r="F3177" s="463"/>
      <c r="G3177" s="463"/>
    </row>
    <row r="3178" spans="6:7" ht="12.75">
      <c r="F3178" s="463"/>
      <c r="G3178" s="463"/>
    </row>
    <row r="3179" spans="6:7" ht="12.75">
      <c r="F3179" s="463"/>
      <c r="G3179" s="463"/>
    </row>
    <row r="3180" spans="6:7" ht="12.75">
      <c r="F3180" s="463"/>
      <c r="G3180" s="463"/>
    </row>
    <row r="3181" spans="6:7" ht="12.75">
      <c r="F3181" s="463"/>
      <c r="G3181" s="463"/>
    </row>
    <row r="3182" spans="6:7" ht="12.75">
      <c r="F3182" s="463"/>
      <c r="G3182" s="463"/>
    </row>
    <row r="3183" spans="6:7" ht="12.75">
      <c r="F3183" s="463"/>
      <c r="G3183" s="463"/>
    </row>
    <row r="3184" spans="6:7" ht="12.75">
      <c r="F3184" s="463"/>
      <c r="G3184" s="463"/>
    </row>
    <row r="3185" spans="6:7" ht="12.75">
      <c r="F3185" s="463"/>
      <c r="G3185" s="463"/>
    </row>
    <row r="3186" spans="6:7" ht="12.75">
      <c r="F3186" s="463"/>
      <c r="G3186" s="463"/>
    </row>
    <row r="3187" spans="6:7" ht="12.75">
      <c r="F3187" s="463"/>
      <c r="G3187" s="463"/>
    </row>
    <row r="3188" spans="6:7" ht="12.75">
      <c r="F3188" s="463"/>
      <c r="G3188" s="463"/>
    </row>
    <row r="3189" spans="6:7" ht="12.75">
      <c r="F3189" s="463"/>
      <c r="G3189" s="463"/>
    </row>
    <row r="3190" spans="6:7" ht="12.75">
      <c r="F3190" s="463"/>
      <c r="G3190" s="463"/>
    </row>
    <row r="3191" spans="6:7" ht="12.75">
      <c r="F3191" s="463"/>
      <c r="G3191" s="463"/>
    </row>
    <row r="3192" spans="6:7" ht="12.75">
      <c r="F3192" s="463"/>
      <c r="G3192" s="463"/>
    </row>
    <row r="3193" spans="6:7" ht="12.75">
      <c r="F3193" s="463"/>
      <c r="G3193" s="463"/>
    </row>
    <row r="3194" spans="6:7" ht="12.75">
      <c r="F3194" s="463"/>
      <c r="G3194" s="463"/>
    </row>
    <row r="3195" spans="6:7" ht="12.75">
      <c r="F3195" s="463"/>
      <c r="G3195" s="463"/>
    </row>
    <row r="3196" spans="6:7" ht="12.75">
      <c r="F3196" s="463"/>
      <c r="G3196" s="463"/>
    </row>
    <row r="3197" spans="6:7" ht="12.75">
      <c r="F3197" s="463"/>
      <c r="G3197" s="463"/>
    </row>
    <row r="3198" spans="6:7" ht="12.75">
      <c r="F3198" s="463"/>
      <c r="G3198" s="463"/>
    </row>
    <row r="3199" spans="6:7" ht="12.75">
      <c r="F3199" s="463"/>
      <c r="G3199" s="463"/>
    </row>
    <row r="3200" spans="6:7" ht="12.75">
      <c r="F3200" s="463"/>
      <c r="G3200" s="463"/>
    </row>
    <row r="3201" spans="6:7" ht="12.75">
      <c r="F3201" s="463"/>
      <c r="G3201" s="463"/>
    </row>
    <row r="3202" spans="6:7" ht="12.75">
      <c r="F3202" s="463"/>
      <c r="G3202" s="463"/>
    </row>
    <row r="3203" spans="6:7" ht="12.75">
      <c r="F3203" s="463"/>
      <c r="G3203" s="463"/>
    </row>
    <row r="3204" spans="6:7" ht="12.75">
      <c r="F3204" s="463"/>
      <c r="G3204" s="463"/>
    </row>
    <row r="3205" spans="6:7" ht="12.75">
      <c r="F3205" s="463"/>
      <c r="G3205" s="463"/>
    </row>
    <row r="3206" spans="6:7" ht="12.75">
      <c r="F3206" s="463"/>
      <c r="G3206" s="463"/>
    </row>
    <row r="3207" spans="6:7" ht="12.75">
      <c r="F3207" s="463"/>
      <c r="G3207" s="463"/>
    </row>
    <row r="3208" spans="6:7" ht="12.75">
      <c r="F3208" s="463"/>
      <c r="G3208" s="463"/>
    </row>
    <row r="3209" spans="6:7" ht="12.75">
      <c r="F3209" s="463"/>
      <c r="G3209" s="463"/>
    </row>
    <row r="3210" spans="6:7" ht="12.75">
      <c r="F3210" s="463"/>
      <c r="G3210" s="463"/>
    </row>
    <row r="3211" spans="6:7" ht="12.75">
      <c r="F3211" s="463"/>
      <c r="G3211" s="463"/>
    </row>
    <row r="3212" spans="6:7" ht="12.75">
      <c r="F3212" s="463"/>
      <c r="G3212" s="463"/>
    </row>
    <row r="3213" spans="6:7" ht="12.75">
      <c r="F3213" s="463"/>
      <c r="G3213" s="463"/>
    </row>
    <row r="3214" spans="6:7" ht="12.75">
      <c r="F3214" s="463"/>
      <c r="G3214" s="463"/>
    </row>
    <row r="3215" spans="6:7" ht="12.75">
      <c r="F3215" s="463"/>
      <c r="G3215" s="463"/>
    </row>
    <row r="3216" spans="6:7" ht="12.75">
      <c r="F3216" s="463"/>
      <c r="G3216" s="463"/>
    </row>
    <row r="3217" spans="6:7" ht="12.75">
      <c r="F3217" s="463"/>
      <c r="G3217" s="463"/>
    </row>
    <row r="3218" spans="6:7" ht="12.75">
      <c r="F3218" s="463"/>
      <c r="G3218" s="463"/>
    </row>
    <row r="3219" spans="6:7" ht="12.75">
      <c r="F3219" s="463"/>
      <c r="G3219" s="463"/>
    </row>
    <row r="3220" spans="6:7" ht="12.75">
      <c r="F3220" s="463"/>
      <c r="G3220" s="463"/>
    </row>
    <row r="3221" spans="6:7" ht="12.75">
      <c r="F3221" s="463"/>
      <c r="G3221" s="463"/>
    </row>
    <row r="3222" spans="6:7" ht="12.75">
      <c r="F3222" s="463"/>
      <c r="G3222" s="463"/>
    </row>
    <row r="3223" spans="6:7" ht="12.75">
      <c r="F3223" s="463"/>
      <c r="G3223" s="463"/>
    </row>
    <row r="3224" spans="6:7" ht="12.75">
      <c r="F3224" s="463"/>
      <c r="G3224" s="463"/>
    </row>
    <row r="3225" spans="6:7" ht="12.75">
      <c r="F3225" s="463"/>
      <c r="G3225" s="463"/>
    </row>
    <row r="3226" spans="6:7" ht="12.75">
      <c r="F3226" s="463"/>
      <c r="G3226" s="463"/>
    </row>
  </sheetData>
  <mergeCells count="10">
    <mergeCell ref="A5:A6"/>
    <mergeCell ref="A1:E1"/>
    <mergeCell ref="A2:E2"/>
    <mergeCell ref="B5:E5"/>
    <mergeCell ref="A3:E3"/>
    <mergeCell ref="A63:E63"/>
    <mergeCell ref="A7:E7"/>
    <mergeCell ref="A11:E11"/>
    <mergeCell ref="A19:E19"/>
    <mergeCell ref="A59:E59"/>
  </mergeCells>
  <printOptions horizontalCentered="1"/>
  <pageMargins left="0.2362204724409449" right="0.2362204724409449" top="0.55" bottom="0.24" header="0.21" footer="0.21"/>
  <pageSetup horizontalDpi="600" verticalDpi="600" orientation="portrait" paperSize="9" r:id="rId1"/>
  <rowBreaks count="1" manualBreakCount="1">
    <brk id="4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M3211"/>
  <sheetViews>
    <sheetView workbookViewId="0" topLeftCell="A1">
      <pane xSplit="1" ySplit="6" topLeftCell="B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G52" sqref="G52"/>
    </sheetView>
  </sheetViews>
  <sheetFormatPr defaultColWidth="9.140625" defaultRowHeight="12.75"/>
  <cols>
    <col min="1" max="1" width="55.140625" style="416" customWidth="1"/>
    <col min="2" max="2" width="11.00390625" style="414" customWidth="1"/>
    <col min="3" max="3" width="10.7109375" style="414" customWidth="1"/>
    <col min="4" max="4" width="10.28125" style="414" customWidth="1"/>
    <col min="5" max="5" width="10.421875" style="414" customWidth="1"/>
    <col min="6" max="7" width="8.00390625" style="414" customWidth="1"/>
    <col min="8" max="11" width="8.00390625" style="414" hidden="1" customWidth="1"/>
    <col min="12" max="16384" width="8.00390625" style="414" customWidth="1"/>
  </cols>
  <sheetData>
    <row r="1" spans="1:13" ht="21.75" customHeight="1">
      <c r="A1" s="888" t="s">
        <v>220</v>
      </c>
      <c r="B1" s="888"/>
      <c r="C1" s="888"/>
      <c r="D1" s="888"/>
      <c r="E1" s="888"/>
      <c r="K1" s="415"/>
      <c r="L1" s="415"/>
      <c r="M1" s="415"/>
    </row>
    <row r="2" spans="1:5" ht="21.75" customHeight="1">
      <c r="A2" s="889" t="s">
        <v>221</v>
      </c>
      <c r="B2" s="889"/>
      <c r="C2" s="889"/>
      <c r="D2" s="889"/>
      <c r="E2" s="889"/>
    </row>
    <row r="4" spans="1:5" ht="19.5" customHeight="1">
      <c r="A4" s="886" t="s">
        <v>222</v>
      </c>
      <c r="B4" s="890" t="s">
        <v>223</v>
      </c>
      <c r="C4" s="891"/>
      <c r="D4" s="891"/>
      <c r="E4" s="892"/>
    </row>
    <row r="5" spans="1:9" ht="27.75" customHeight="1">
      <c r="A5" s="887"/>
      <c r="B5" s="417" t="s">
        <v>224</v>
      </c>
      <c r="C5" s="417" t="s">
        <v>225</v>
      </c>
      <c r="D5" s="417" t="s">
        <v>226</v>
      </c>
      <c r="E5" s="418" t="s">
        <v>65</v>
      </c>
      <c r="H5" s="414" t="s">
        <v>227</v>
      </c>
      <c r="I5" s="414" t="s">
        <v>228</v>
      </c>
    </row>
    <row r="6" spans="1:7" ht="18" customHeight="1">
      <c r="A6" s="893" t="s">
        <v>229</v>
      </c>
      <c r="B6" s="894"/>
      <c r="C6" s="894"/>
      <c r="D6" s="894"/>
      <c r="E6" s="895"/>
      <c r="G6" s="419"/>
    </row>
    <row r="7" spans="1:9" ht="15">
      <c r="A7" s="352" t="s">
        <v>209</v>
      </c>
      <c r="B7" s="420">
        <v>337</v>
      </c>
      <c r="C7" s="421">
        <v>301</v>
      </c>
      <c r="D7" s="421">
        <v>307</v>
      </c>
      <c r="E7" s="422">
        <v>300</v>
      </c>
      <c r="F7" s="423"/>
      <c r="G7" s="423"/>
      <c r="H7" s="423"/>
      <c r="I7" s="423"/>
    </row>
    <row r="8" spans="1:9" ht="15">
      <c r="A8" s="352" t="s">
        <v>210</v>
      </c>
      <c r="B8" s="420">
        <v>375</v>
      </c>
      <c r="C8" s="421">
        <v>362</v>
      </c>
      <c r="D8" s="421">
        <v>356</v>
      </c>
      <c r="E8" s="422">
        <v>377</v>
      </c>
      <c r="F8" s="423"/>
      <c r="G8" s="423"/>
      <c r="H8" s="423"/>
      <c r="I8" s="423"/>
    </row>
    <row r="9" spans="1:9" ht="25.5">
      <c r="A9" s="354" t="s">
        <v>211</v>
      </c>
      <c r="B9" s="420">
        <v>65</v>
      </c>
      <c r="C9" s="421">
        <v>65</v>
      </c>
      <c r="D9" s="421">
        <v>64</v>
      </c>
      <c r="E9" s="422">
        <v>63</v>
      </c>
      <c r="F9" s="423"/>
      <c r="G9" s="423"/>
      <c r="H9" s="423"/>
      <c r="I9" s="423"/>
    </row>
    <row r="10" spans="1:9" ht="15">
      <c r="A10" s="424" t="s">
        <v>212</v>
      </c>
      <c r="B10" s="425">
        <v>108</v>
      </c>
      <c r="C10" s="426">
        <v>105</v>
      </c>
      <c r="D10" s="426">
        <v>110</v>
      </c>
      <c r="E10" s="427">
        <v>138</v>
      </c>
      <c r="F10" s="423"/>
      <c r="G10" s="423"/>
      <c r="H10" s="423"/>
      <c r="I10" s="423"/>
    </row>
    <row r="11" spans="1:9" ht="15">
      <c r="A11" s="428" t="s">
        <v>230</v>
      </c>
      <c r="B11" s="429">
        <f>SUM(B7:B10)</f>
        <v>885</v>
      </c>
      <c r="C11" s="429">
        <f>SUM(C7:C10)</f>
        <v>833</v>
      </c>
      <c r="D11" s="429">
        <f>SUM(D7:D10)</f>
        <v>837</v>
      </c>
      <c r="E11" s="430">
        <f>SUM(E7:E10)</f>
        <v>878</v>
      </c>
      <c r="F11" s="423"/>
      <c r="G11" s="423"/>
      <c r="H11" s="423"/>
      <c r="I11" s="423"/>
    </row>
    <row r="12" spans="1:9" ht="18" customHeight="1">
      <c r="A12" s="893" t="s">
        <v>231</v>
      </c>
      <c r="B12" s="894"/>
      <c r="C12" s="894"/>
      <c r="D12" s="894"/>
      <c r="E12" s="895"/>
      <c r="F12" s="423"/>
      <c r="G12" s="423"/>
      <c r="H12" s="423"/>
      <c r="I12" s="423"/>
    </row>
    <row r="13" spans="1:9" ht="15">
      <c r="A13" s="352" t="s">
        <v>232</v>
      </c>
      <c r="B13" s="431">
        <v>566</v>
      </c>
      <c r="C13" s="421">
        <v>554</v>
      </c>
      <c r="D13" s="421">
        <v>543.5</v>
      </c>
      <c r="E13" s="422"/>
      <c r="F13" s="423"/>
      <c r="G13" s="423"/>
      <c r="H13" s="423"/>
      <c r="I13" s="423"/>
    </row>
    <row r="14" spans="1:9" ht="15">
      <c r="A14" s="352" t="s">
        <v>233</v>
      </c>
      <c r="B14" s="431">
        <v>681</v>
      </c>
      <c r="C14" s="421">
        <v>691</v>
      </c>
      <c r="D14" s="421">
        <v>687</v>
      </c>
      <c r="E14" s="422"/>
      <c r="F14" s="423"/>
      <c r="G14" s="423"/>
      <c r="H14" s="423"/>
      <c r="I14" s="423"/>
    </row>
    <row r="15" spans="1:9" ht="15">
      <c r="A15" s="352" t="s">
        <v>234</v>
      </c>
      <c r="B15" s="431">
        <v>606</v>
      </c>
      <c r="C15" s="421">
        <v>613</v>
      </c>
      <c r="D15" s="421">
        <v>623.17</v>
      </c>
      <c r="E15" s="422"/>
      <c r="F15" s="423"/>
      <c r="G15" s="423"/>
      <c r="H15" s="423"/>
      <c r="I15" s="423"/>
    </row>
    <row r="16" spans="1:9" ht="15">
      <c r="A16" s="352" t="s">
        <v>235</v>
      </c>
      <c r="B16" s="431">
        <v>589</v>
      </c>
      <c r="C16" s="421">
        <v>585</v>
      </c>
      <c r="D16" s="421">
        <v>591.33</v>
      </c>
      <c r="E16" s="422"/>
      <c r="F16" s="423"/>
      <c r="G16" s="423"/>
      <c r="H16" s="423"/>
      <c r="I16" s="423"/>
    </row>
    <row r="17" spans="1:10" ht="15">
      <c r="A17" s="424" t="s">
        <v>236</v>
      </c>
      <c r="B17" s="432"/>
      <c r="C17" s="426"/>
      <c r="D17" s="426"/>
      <c r="E17" s="427">
        <f>J17</f>
        <v>2416</v>
      </c>
      <c r="F17" s="423"/>
      <c r="G17" s="423"/>
      <c r="H17" s="423">
        <v>2432</v>
      </c>
      <c r="I17" s="423">
        <v>2384</v>
      </c>
      <c r="J17" s="414">
        <f>H17/12*8+I17/12*4</f>
        <v>2416</v>
      </c>
    </row>
    <row r="18" spans="1:10" ht="15">
      <c r="A18" s="428" t="s">
        <v>178</v>
      </c>
      <c r="B18" s="433">
        <f>SUM(B13:B17)</f>
        <v>2442</v>
      </c>
      <c r="C18" s="433">
        <f>SUM(C13:C17)</f>
        <v>2443</v>
      </c>
      <c r="D18" s="433">
        <f>SUM(D13:D17)</f>
        <v>2445</v>
      </c>
      <c r="E18" s="434">
        <f>SUM(E13:E17)</f>
        <v>2416</v>
      </c>
      <c r="F18" s="423"/>
      <c r="G18" s="423"/>
      <c r="H18" s="423"/>
      <c r="I18" s="423"/>
      <c r="J18" s="414">
        <f aca="true" t="shared" si="0" ref="J18:J51">H18/12*8+I18/12*4</f>
        <v>0</v>
      </c>
    </row>
    <row r="19" spans="1:10" ht="25.5">
      <c r="A19" s="435" t="s">
        <v>237</v>
      </c>
      <c r="B19" s="436">
        <v>565</v>
      </c>
      <c r="C19" s="437">
        <v>631</v>
      </c>
      <c r="D19" s="437">
        <v>762.67</v>
      </c>
      <c r="E19" s="427">
        <f aca="true" t="shared" si="1" ref="E19:E34">J19</f>
        <v>706.3333333333333</v>
      </c>
      <c r="F19" s="423"/>
      <c r="G19" s="423"/>
      <c r="H19" s="423">
        <v>722</v>
      </c>
      <c r="I19" s="423">
        <v>675</v>
      </c>
      <c r="J19" s="414">
        <f t="shared" si="0"/>
        <v>706.3333333333333</v>
      </c>
    </row>
    <row r="20" spans="1:10" ht="15">
      <c r="A20" s="438" t="s">
        <v>238</v>
      </c>
      <c r="B20" s="431"/>
      <c r="C20" s="421"/>
      <c r="D20" s="421">
        <v>446.17</v>
      </c>
      <c r="E20" s="427">
        <f t="shared" si="1"/>
        <v>406.33333333333337</v>
      </c>
      <c r="F20" s="423"/>
      <c r="G20" s="423"/>
      <c r="H20" s="423">
        <v>411</v>
      </c>
      <c r="I20" s="423">
        <v>397</v>
      </c>
      <c r="J20" s="414">
        <f t="shared" si="0"/>
        <v>406.33333333333337</v>
      </c>
    </row>
    <row r="21" spans="1:10" ht="15">
      <c r="A21" s="352" t="s">
        <v>181</v>
      </c>
      <c r="B21" s="431">
        <v>698</v>
      </c>
      <c r="C21" s="421">
        <v>672</v>
      </c>
      <c r="D21" s="421">
        <v>625.67</v>
      </c>
      <c r="E21" s="427">
        <f t="shared" si="1"/>
        <v>627</v>
      </c>
      <c r="F21" s="423"/>
      <c r="G21" s="423"/>
      <c r="H21" s="423">
        <v>631</v>
      </c>
      <c r="I21" s="423">
        <v>619</v>
      </c>
      <c r="J21" s="414">
        <f t="shared" si="0"/>
        <v>627</v>
      </c>
    </row>
    <row r="22" spans="1:10" ht="15">
      <c r="A22" s="352" t="s">
        <v>182</v>
      </c>
      <c r="B22" s="431">
        <v>471</v>
      </c>
      <c r="C22" s="421">
        <v>464</v>
      </c>
      <c r="D22" s="421">
        <v>434.33</v>
      </c>
      <c r="E22" s="427">
        <f t="shared" si="1"/>
        <v>435.66666666666663</v>
      </c>
      <c r="F22" s="423"/>
      <c r="G22" s="423"/>
      <c r="H22" s="423">
        <v>435</v>
      </c>
      <c r="I22" s="423">
        <v>437</v>
      </c>
      <c r="J22" s="414">
        <f t="shared" si="0"/>
        <v>435.66666666666663</v>
      </c>
    </row>
    <row r="23" spans="1:10" ht="15">
      <c r="A23" s="352" t="s">
        <v>183</v>
      </c>
      <c r="B23" s="431">
        <v>506</v>
      </c>
      <c r="C23" s="439">
        <v>507</v>
      </c>
      <c r="D23" s="421">
        <v>474</v>
      </c>
      <c r="E23" s="427">
        <f t="shared" si="1"/>
        <v>493.33333333333337</v>
      </c>
      <c r="F23" s="423"/>
      <c r="G23" s="423"/>
      <c r="H23" s="423">
        <v>496</v>
      </c>
      <c r="I23" s="423">
        <v>488</v>
      </c>
      <c r="J23" s="414">
        <f t="shared" si="0"/>
        <v>493.33333333333337</v>
      </c>
    </row>
    <row r="24" spans="1:10" ht="25.5">
      <c r="A24" s="440" t="s">
        <v>239</v>
      </c>
      <c r="B24" s="431">
        <v>569</v>
      </c>
      <c r="C24" s="421">
        <v>552</v>
      </c>
      <c r="D24" s="439">
        <v>521.33</v>
      </c>
      <c r="E24" s="427">
        <f t="shared" si="1"/>
        <v>496</v>
      </c>
      <c r="F24" s="423"/>
      <c r="G24" s="423"/>
      <c r="H24" s="423">
        <v>508</v>
      </c>
      <c r="I24" s="423">
        <v>472</v>
      </c>
      <c r="J24" s="414">
        <f t="shared" si="0"/>
        <v>496</v>
      </c>
    </row>
    <row r="25" spans="1:10" ht="15">
      <c r="A25" s="352" t="s">
        <v>240</v>
      </c>
      <c r="B25" s="431">
        <v>291</v>
      </c>
      <c r="C25" s="421">
        <v>283</v>
      </c>
      <c r="D25" s="421">
        <v>268.33</v>
      </c>
      <c r="E25" s="427">
        <f t="shared" si="1"/>
        <v>247.66666666666669</v>
      </c>
      <c r="F25" s="423"/>
      <c r="G25" s="423"/>
      <c r="H25" s="423">
        <v>255</v>
      </c>
      <c r="I25" s="423">
        <v>233</v>
      </c>
      <c r="J25" s="414">
        <f t="shared" si="0"/>
        <v>247.66666666666669</v>
      </c>
    </row>
    <row r="26" spans="1:10" ht="15">
      <c r="A26" s="352" t="s">
        <v>186</v>
      </c>
      <c r="B26" s="431">
        <v>476</v>
      </c>
      <c r="C26" s="421">
        <v>482</v>
      </c>
      <c r="D26" s="421">
        <v>464.67</v>
      </c>
      <c r="E26" s="427">
        <f t="shared" si="1"/>
        <v>482.6666666666667</v>
      </c>
      <c r="F26" s="423"/>
      <c r="G26" s="423"/>
      <c r="H26" s="423">
        <v>484</v>
      </c>
      <c r="I26" s="423">
        <v>480</v>
      </c>
      <c r="J26" s="414">
        <f t="shared" si="0"/>
        <v>482.6666666666667</v>
      </c>
    </row>
    <row r="27" spans="1:10" ht="25.5">
      <c r="A27" s="354" t="s">
        <v>187</v>
      </c>
      <c r="B27" s="431">
        <v>770</v>
      </c>
      <c r="C27" s="421">
        <v>749</v>
      </c>
      <c r="D27" s="421">
        <v>727.67</v>
      </c>
      <c r="E27" s="427">
        <f t="shared" si="1"/>
        <v>721</v>
      </c>
      <c r="F27" s="423"/>
      <c r="G27" s="423"/>
      <c r="H27" s="423">
        <v>725</v>
      </c>
      <c r="I27" s="423">
        <v>713</v>
      </c>
      <c r="J27" s="414">
        <f t="shared" si="0"/>
        <v>721</v>
      </c>
    </row>
    <row r="28" spans="1:10" ht="15.75" customHeight="1">
      <c r="A28" s="352" t="s">
        <v>241</v>
      </c>
      <c r="B28" s="431">
        <v>308</v>
      </c>
      <c r="C28" s="421">
        <v>275</v>
      </c>
      <c r="D28" s="421">
        <v>0</v>
      </c>
      <c r="E28" s="427">
        <f t="shared" si="1"/>
        <v>0</v>
      </c>
      <c r="F28" s="423"/>
      <c r="G28" s="423"/>
      <c r="H28" s="423"/>
      <c r="I28" s="423"/>
      <c r="J28" s="414">
        <f t="shared" si="0"/>
        <v>0</v>
      </c>
    </row>
    <row r="29" spans="1:10" ht="16.5" customHeight="1">
      <c r="A29" s="354" t="s">
        <v>188</v>
      </c>
      <c r="B29" s="431">
        <v>243</v>
      </c>
      <c r="C29" s="421">
        <v>249</v>
      </c>
      <c r="D29" s="421">
        <v>243</v>
      </c>
      <c r="E29" s="427">
        <f t="shared" si="1"/>
        <v>226.66666666666669</v>
      </c>
      <c r="F29" s="423"/>
      <c r="G29" s="423"/>
      <c r="H29" s="423">
        <v>227</v>
      </c>
      <c r="I29" s="423">
        <v>226</v>
      </c>
      <c r="J29" s="414">
        <f t="shared" si="0"/>
        <v>226.66666666666669</v>
      </c>
    </row>
    <row r="30" spans="1:10" ht="25.5">
      <c r="A30" s="354" t="s">
        <v>189</v>
      </c>
      <c r="B30" s="431">
        <v>322</v>
      </c>
      <c r="C30" s="421">
        <v>355</v>
      </c>
      <c r="D30" s="421">
        <v>403.67</v>
      </c>
      <c r="E30" s="427">
        <f t="shared" si="1"/>
        <v>361.6666666666667</v>
      </c>
      <c r="F30" s="423"/>
      <c r="G30" s="423"/>
      <c r="H30" s="423">
        <v>377</v>
      </c>
      <c r="I30" s="423">
        <v>331</v>
      </c>
      <c r="J30" s="414">
        <f t="shared" si="0"/>
        <v>361.6666666666667</v>
      </c>
    </row>
    <row r="31" spans="1:10" ht="28.5" customHeight="1">
      <c r="A31" s="354" t="s">
        <v>190</v>
      </c>
      <c r="B31" s="431">
        <v>752</v>
      </c>
      <c r="C31" s="421">
        <v>722</v>
      </c>
      <c r="D31" s="421">
        <v>694.33</v>
      </c>
      <c r="E31" s="427">
        <f t="shared" si="1"/>
        <v>654.3333333333334</v>
      </c>
      <c r="F31" s="423"/>
      <c r="G31" s="423"/>
      <c r="H31" s="423">
        <v>667</v>
      </c>
      <c r="I31" s="423">
        <v>629</v>
      </c>
      <c r="J31" s="414">
        <f t="shared" si="0"/>
        <v>654.3333333333334</v>
      </c>
    </row>
    <row r="32" spans="1:10" ht="15">
      <c r="A32" s="438" t="s">
        <v>191</v>
      </c>
      <c r="B32" s="431">
        <v>0</v>
      </c>
      <c r="C32" s="421">
        <v>305</v>
      </c>
      <c r="D32" s="421">
        <v>907.33</v>
      </c>
      <c r="E32" s="427">
        <f t="shared" si="1"/>
        <v>875.6666666666666</v>
      </c>
      <c r="F32" s="423"/>
      <c r="G32" s="423"/>
      <c r="H32" s="423">
        <v>892</v>
      </c>
      <c r="I32" s="423">
        <v>843</v>
      </c>
      <c r="J32" s="414">
        <f t="shared" si="0"/>
        <v>875.6666666666666</v>
      </c>
    </row>
    <row r="33" spans="1:10" ht="15">
      <c r="A33" s="352" t="s">
        <v>242</v>
      </c>
      <c r="B33" s="431">
        <v>524</v>
      </c>
      <c r="C33" s="421">
        <v>335</v>
      </c>
      <c r="D33" s="421">
        <v>0</v>
      </c>
      <c r="E33" s="427">
        <f t="shared" si="1"/>
        <v>0</v>
      </c>
      <c r="F33" s="423"/>
      <c r="G33" s="423"/>
      <c r="H33" s="423"/>
      <c r="I33" s="423"/>
      <c r="J33" s="414">
        <f t="shared" si="0"/>
        <v>0</v>
      </c>
    </row>
    <row r="34" spans="1:10" ht="15">
      <c r="A34" s="424" t="s">
        <v>243</v>
      </c>
      <c r="B34" s="432">
        <v>481</v>
      </c>
      <c r="C34" s="426">
        <v>314</v>
      </c>
      <c r="D34" s="426">
        <v>0</v>
      </c>
      <c r="E34" s="427">
        <f t="shared" si="1"/>
        <v>0</v>
      </c>
      <c r="F34" s="423"/>
      <c r="G34" s="423"/>
      <c r="H34" s="423"/>
      <c r="I34" s="423"/>
      <c r="J34" s="414">
        <f t="shared" si="0"/>
        <v>0</v>
      </c>
    </row>
    <row r="35" spans="1:10" ht="15">
      <c r="A35" s="441" t="s">
        <v>244</v>
      </c>
      <c r="B35" s="442">
        <f>SUM(B19:B34)</f>
        <v>6976</v>
      </c>
      <c r="C35" s="442">
        <f>SUM(C19:C34)</f>
        <v>6895</v>
      </c>
      <c r="D35" s="442">
        <f>SUM(D19:D34)</f>
        <v>6973.169999999999</v>
      </c>
      <c r="E35" s="443">
        <f>SUM(E19:E34)</f>
        <v>6734.333333333334</v>
      </c>
      <c r="F35" s="423"/>
      <c r="G35" s="423"/>
      <c r="H35" s="423"/>
      <c r="I35" s="423"/>
      <c r="J35" s="414">
        <f t="shared" si="0"/>
        <v>0</v>
      </c>
    </row>
    <row r="36" spans="1:10" ht="15">
      <c r="A36" s="444" t="s">
        <v>194</v>
      </c>
      <c r="B36" s="436">
        <v>562</v>
      </c>
      <c r="C36" s="437">
        <v>556</v>
      </c>
      <c r="D36" s="437">
        <v>559.67</v>
      </c>
      <c r="E36" s="427">
        <f aca="true" t="shared" si="2" ref="E36:E49">J36</f>
        <v>550</v>
      </c>
      <c r="F36" s="423"/>
      <c r="G36" s="423"/>
      <c r="H36" s="423">
        <v>555</v>
      </c>
      <c r="I36" s="423">
        <v>540</v>
      </c>
      <c r="J36" s="414">
        <f t="shared" si="0"/>
        <v>550</v>
      </c>
    </row>
    <row r="37" spans="1:10" ht="15">
      <c r="A37" s="352" t="s">
        <v>195</v>
      </c>
      <c r="B37" s="431">
        <v>520</v>
      </c>
      <c r="C37" s="421">
        <v>524</v>
      </c>
      <c r="D37" s="421">
        <v>531</v>
      </c>
      <c r="E37" s="427">
        <f t="shared" si="2"/>
        <v>528.6666666666667</v>
      </c>
      <c r="F37" s="423"/>
      <c r="G37" s="423"/>
      <c r="H37" s="423">
        <v>535</v>
      </c>
      <c r="I37" s="423">
        <v>516</v>
      </c>
      <c r="J37" s="414">
        <f t="shared" si="0"/>
        <v>528.6666666666667</v>
      </c>
    </row>
    <row r="38" spans="1:10" ht="15">
      <c r="A38" s="445" t="s">
        <v>196</v>
      </c>
      <c r="B38" s="431">
        <v>703</v>
      </c>
      <c r="C38" s="421">
        <v>700</v>
      </c>
      <c r="D38" s="421">
        <v>696</v>
      </c>
      <c r="E38" s="427">
        <f t="shared" si="2"/>
        <v>667</v>
      </c>
      <c r="F38" s="423"/>
      <c r="G38" s="423"/>
      <c r="H38" s="423">
        <v>681</v>
      </c>
      <c r="I38" s="423">
        <v>639</v>
      </c>
      <c r="J38" s="414">
        <f t="shared" si="0"/>
        <v>667</v>
      </c>
    </row>
    <row r="39" spans="1:10" ht="15">
      <c r="A39" s="445" t="s">
        <v>245</v>
      </c>
      <c r="B39" s="431">
        <v>745</v>
      </c>
      <c r="C39" s="421">
        <v>749</v>
      </c>
      <c r="D39" s="421">
        <v>747</v>
      </c>
      <c r="E39" s="427">
        <f t="shared" si="2"/>
        <v>743.6666666666666</v>
      </c>
      <c r="F39" s="423"/>
      <c r="G39" s="423"/>
      <c r="H39" s="423">
        <v>765</v>
      </c>
      <c r="I39" s="423">
        <v>701</v>
      </c>
      <c r="J39" s="414">
        <f t="shared" si="0"/>
        <v>743.6666666666666</v>
      </c>
    </row>
    <row r="40" spans="1:10" ht="25.5">
      <c r="A40" s="438" t="s">
        <v>198</v>
      </c>
      <c r="B40" s="431">
        <v>0</v>
      </c>
      <c r="C40" s="421">
        <v>109</v>
      </c>
      <c r="D40" s="421">
        <v>348.4</v>
      </c>
      <c r="E40" s="427">
        <f t="shared" si="2"/>
        <v>365.3666666666667</v>
      </c>
      <c r="F40" s="423"/>
      <c r="G40" s="423"/>
      <c r="H40" s="423">
        <v>373</v>
      </c>
      <c r="I40" s="423">
        <v>350.1</v>
      </c>
      <c r="J40" s="414">
        <f t="shared" si="0"/>
        <v>365.3666666666667</v>
      </c>
    </row>
    <row r="41" spans="1:10" ht="18" customHeight="1">
      <c r="A41" s="358" t="s">
        <v>246</v>
      </c>
      <c r="B41" s="431">
        <v>343</v>
      </c>
      <c r="C41" s="421">
        <v>210</v>
      </c>
      <c r="D41" s="421">
        <v>0</v>
      </c>
      <c r="E41" s="427">
        <f t="shared" si="2"/>
        <v>0</v>
      </c>
      <c r="F41" s="423"/>
      <c r="G41" s="423"/>
      <c r="H41" s="423"/>
      <c r="I41" s="423"/>
      <c r="J41" s="414">
        <f t="shared" si="0"/>
        <v>0</v>
      </c>
    </row>
    <row r="42" spans="1:10" ht="28.5" customHeight="1">
      <c r="A42" s="446" t="s">
        <v>352</v>
      </c>
      <c r="B42" s="431">
        <v>735</v>
      </c>
      <c r="C42" s="421">
        <v>738</v>
      </c>
      <c r="D42" s="421">
        <v>723.5</v>
      </c>
      <c r="E42" s="427">
        <f t="shared" si="2"/>
        <v>697</v>
      </c>
      <c r="F42" s="423"/>
      <c r="G42" s="423"/>
      <c r="H42" s="423">
        <v>723</v>
      </c>
      <c r="I42" s="423">
        <v>645</v>
      </c>
      <c r="J42" s="414">
        <f t="shared" si="0"/>
        <v>697</v>
      </c>
    </row>
    <row r="43" spans="1:10" ht="15">
      <c r="A43" s="445" t="s">
        <v>201</v>
      </c>
      <c r="B43" s="431">
        <v>1227</v>
      </c>
      <c r="C43" s="421">
        <v>1224</v>
      </c>
      <c r="D43" s="421">
        <v>1200.8</v>
      </c>
      <c r="E43" s="427">
        <f t="shared" si="2"/>
        <v>1198.6666666666667</v>
      </c>
      <c r="F43" s="423"/>
      <c r="G43" s="423"/>
      <c r="H43" s="423">
        <v>1190</v>
      </c>
      <c r="I43" s="423">
        <v>1216</v>
      </c>
      <c r="J43" s="414">
        <f t="shared" si="0"/>
        <v>1198.6666666666667</v>
      </c>
    </row>
    <row r="44" spans="1:10" ht="15">
      <c r="A44" s="445" t="s">
        <v>202</v>
      </c>
      <c r="B44" s="431">
        <v>577</v>
      </c>
      <c r="C44" s="421">
        <v>580</v>
      </c>
      <c r="D44" s="421">
        <v>594.33</v>
      </c>
      <c r="E44" s="427">
        <f t="shared" si="2"/>
        <v>580.3333333333334</v>
      </c>
      <c r="F44" s="423"/>
      <c r="G44" s="423"/>
      <c r="H44" s="423">
        <v>595</v>
      </c>
      <c r="I44" s="423">
        <v>551</v>
      </c>
      <c r="J44" s="414">
        <f t="shared" si="0"/>
        <v>580.3333333333334</v>
      </c>
    </row>
    <row r="45" spans="1:10" ht="25.5">
      <c r="A45" s="354" t="s">
        <v>203</v>
      </c>
      <c r="B45" s="431">
        <v>1238</v>
      </c>
      <c r="C45" s="421">
        <v>1201</v>
      </c>
      <c r="D45" s="421">
        <v>1157.67</v>
      </c>
      <c r="E45" s="427">
        <f t="shared" si="2"/>
        <v>1103.6666666666665</v>
      </c>
      <c r="F45" s="423"/>
      <c r="G45" s="423"/>
      <c r="H45" s="423">
        <v>1108</v>
      </c>
      <c r="I45" s="423">
        <v>1095</v>
      </c>
      <c r="J45" s="414">
        <f t="shared" si="0"/>
        <v>1103.6666666666665</v>
      </c>
    </row>
    <row r="46" spans="1:10" ht="17.25" customHeight="1">
      <c r="A46" s="354" t="s">
        <v>204</v>
      </c>
      <c r="B46" s="431">
        <v>882</v>
      </c>
      <c r="C46" s="421">
        <v>873</v>
      </c>
      <c r="D46" s="421">
        <v>881.27</v>
      </c>
      <c r="E46" s="427">
        <f t="shared" si="2"/>
        <v>883.6666666666666</v>
      </c>
      <c r="F46" s="423"/>
      <c r="G46" s="423"/>
      <c r="H46" s="423">
        <v>892</v>
      </c>
      <c r="I46" s="423">
        <v>867</v>
      </c>
      <c r="J46" s="414">
        <f t="shared" si="0"/>
        <v>883.6666666666666</v>
      </c>
    </row>
    <row r="47" spans="1:10" ht="15">
      <c r="A47" s="445" t="s">
        <v>205</v>
      </c>
      <c r="B47" s="431">
        <v>721</v>
      </c>
      <c r="C47" s="421">
        <v>700</v>
      </c>
      <c r="D47" s="421">
        <v>688.67</v>
      </c>
      <c r="E47" s="427">
        <f t="shared" si="2"/>
        <v>651</v>
      </c>
      <c r="F47" s="423"/>
      <c r="G47" s="423"/>
      <c r="H47" s="423">
        <v>659</v>
      </c>
      <c r="I47" s="423">
        <v>635</v>
      </c>
      <c r="J47" s="414">
        <f t="shared" si="0"/>
        <v>651</v>
      </c>
    </row>
    <row r="48" spans="1:10" ht="15">
      <c r="A48" s="445" t="s">
        <v>248</v>
      </c>
      <c r="B48" s="431">
        <v>190</v>
      </c>
      <c r="C48" s="421">
        <v>132</v>
      </c>
      <c r="D48" s="421">
        <v>0</v>
      </c>
      <c r="E48" s="427">
        <f t="shared" si="2"/>
        <v>0</v>
      </c>
      <c r="F48" s="423"/>
      <c r="G48" s="423"/>
      <c r="H48" s="423"/>
      <c r="I48" s="423"/>
      <c r="J48" s="414">
        <f t="shared" si="0"/>
        <v>0</v>
      </c>
    </row>
    <row r="49" spans="1:10" ht="15.75" customHeight="1">
      <c r="A49" s="424" t="s">
        <v>207</v>
      </c>
      <c r="B49" s="432">
        <v>959</v>
      </c>
      <c r="C49" s="426">
        <v>965</v>
      </c>
      <c r="D49" s="426">
        <v>929</v>
      </c>
      <c r="E49" s="427">
        <f t="shared" si="2"/>
        <v>874</v>
      </c>
      <c r="F49" s="423"/>
      <c r="G49" s="423"/>
      <c r="H49" s="423">
        <v>899</v>
      </c>
      <c r="I49" s="423">
        <v>824</v>
      </c>
      <c r="J49" s="414">
        <f t="shared" si="0"/>
        <v>874</v>
      </c>
    </row>
    <row r="50" spans="1:10" ht="15.75" customHeight="1">
      <c r="A50" s="428" t="s">
        <v>206</v>
      </c>
      <c r="B50" s="433">
        <f>SUM(B36:B49)</f>
        <v>9402</v>
      </c>
      <c r="C50" s="433">
        <f>SUM(C36:C49)</f>
        <v>9261</v>
      </c>
      <c r="D50" s="447">
        <f>SUM(D36:D49)</f>
        <v>9057.31</v>
      </c>
      <c r="E50" s="448">
        <f>SUM(E36:E49)</f>
        <v>8843.033333333333</v>
      </c>
      <c r="F50" s="423"/>
      <c r="G50" s="423"/>
      <c r="H50" s="423"/>
      <c r="I50" s="423"/>
      <c r="J50" s="414">
        <f t="shared" si="0"/>
        <v>0</v>
      </c>
    </row>
    <row r="51" spans="1:10" ht="31.5" customHeight="1">
      <c r="A51" s="449" t="s">
        <v>249</v>
      </c>
      <c r="B51" s="450">
        <f>SUM(B11+B18+B35+B50)</f>
        <v>19705</v>
      </c>
      <c r="C51" s="450">
        <f>SUM(C11+C18+C35+C50)</f>
        <v>19432</v>
      </c>
      <c r="D51" s="450">
        <f>SUM(D11+D18+D35+D50)</f>
        <v>19312.479999999996</v>
      </c>
      <c r="E51" s="757">
        <f>SUM(E11+E18+E35+E50)</f>
        <v>18871.36666666667</v>
      </c>
      <c r="F51" s="423"/>
      <c r="G51" s="423"/>
      <c r="H51" s="423"/>
      <c r="I51" s="423"/>
      <c r="J51" s="414">
        <f t="shared" si="0"/>
        <v>0</v>
      </c>
    </row>
    <row r="52" spans="1:9" ht="15">
      <c r="A52" s="451"/>
      <c r="B52" s="423"/>
      <c r="C52" s="452"/>
      <c r="D52" s="452"/>
      <c r="E52" s="452"/>
      <c r="F52" s="423"/>
      <c r="G52" s="423"/>
      <c r="H52" s="423"/>
      <c r="I52" s="423"/>
    </row>
    <row r="53" spans="1:9" ht="15">
      <c r="A53" s="883"/>
      <c r="B53" s="884"/>
      <c r="C53" s="885"/>
      <c r="D53" s="885"/>
      <c r="E53" s="885"/>
      <c r="F53" s="885"/>
      <c r="G53" s="885"/>
      <c r="H53" s="885"/>
      <c r="I53" s="885"/>
    </row>
    <row r="54" spans="1:9" ht="15">
      <c r="A54" s="451"/>
      <c r="B54" s="423"/>
      <c r="C54" s="452"/>
      <c r="D54" s="452"/>
      <c r="E54" s="452"/>
      <c r="F54" s="423"/>
      <c r="G54" s="423"/>
      <c r="H54" s="423"/>
      <c r="I54" s="423"/>
    </row>
    <row r="55" spans="1:9" ht="15">
      <c r="A55" s="451"/>
      <c r="B55" s="423"/>
      <c r="C55" s="452"/>
      <c r="D55" s="452"/>
      <c r="E55" s="452"/>
      <c r="F55" s="423"/>
      <c r="G55" s="423"/>
      <c r="H55" s="423"/>
      <c r="I55" s="423"/>
    </row>
    <row r="56" spans="1:9" ht="15">
      <c r="A56" s="451"/>
      <c r="B56" s="423"/>
      <c r="C56" s="452"/>
      <c r="D56" s="452"/>
      <c r="E56" s="452"/>
      <c r="F56" s="423"/>
      <c r="G56" s="423"/>
      <c r="H56" s="423"/>
      <c r="I56" s="423"/>
    </row>
    <row r="57" spans="1:9" ht="15">
      <c r="A57" s="451"/>
      <c r="B57" s="423"/>
      <c r="C57" s="452"/>
      <c r="D57" s="452"/>
      <c r="E57" s="452"/>
      <c r="F57" s="423"/>
      <c r="G57" s="423"/>
      <c r="H57" s="423"/>
      <c r="I57" s="423"/>
    </row>
    <row r="58" spans="1:9" ht="15">
      <c r="A58" s="451"/>
      <c r="B58" s="423"/>
      <c r="C58" s="452"/>
      <c r="D58" s="452"/>
      <c r="E58" s="452"/>
      <c r="F58" s="423"/>
      <c r="G58" s="423"/>
      <c r="H58" s="423"/>
      <c r="I58" s="423"/>
    </row>
    <row r="59" spans="1:9" ht="15">
      <c r="A59" s="451"/>
      <c r="B59" s="423"/>
      <c r="C59" s="452"/>
      <c r="D59" s="452"/>
      <c r="E59" s="452"/>
      <c r="F59" s="423"/>
      <c r="G59" s="423"/>
      <c r="H59" s="423"/>
      <c r="I59" s="423"/>
    </row>
    <row r="60" spans="1:9" ht="15">
      <c r="A60" s="451"/>
      <c r="B60" s="423"/>
      <c r="C60" s="452"/>
      <c r="D60" s="452"/>
      <c r="E60" s="452"/>
      <c r="F60" s="423"/>
      <c r="G60" s="423"/>
      <c r="H60" s="423"/>
      <c r="I60" s="423"/>
    </row>
    <row r="61" spans="1:9" ht="15">
      <c r="A61" s="451"/>
      <c r="B61" s="423"/>
      <c r="C61" s="452"/>
      <c r="D61" s="452"/>
      <c r="E61" s="452"/>
      <c r="F61" s="423"/>
      <c r="G61" s="423"/>
      <c r="H61" s="423"/>
      <c r="I61" s="423"/>
    </row>
    <row r="62" spans="1:9" ht="15">
      <c r="A62" s="451"/>
      <c r="B62" s="423"/>
      <c r="C62" s="452"/>
      <c r="D62" s="452"/>
      <c r="E62" s="452"/>
      <c r="F62" s="423"/>
      <c r="G62" s="423"/>
      <c r="H62" s="423"/>
      <c r="I62" s="423"/>
    </row>
    <row r="63" spans="1:9" ht="15">
      <c r="A63" s="451"/>
      <c r="B63" s="423"/>
      <c r="C63" s="452"/>
      <c r="D63" s="452"/>
      <c r="E63" s="452"/>
      <c r="F63" s="423"/>
      <c r="G63" s="423"/>
      <c r="H63" s="423"/>
      <c r="I63" s="423"/>
    </row>
    <row r="64" spans="1:9" ht="15">
      <c r="A64" s="451"/>
      <c r="B64" s="423"/>
      <c r="C64" s="452"/>
      <c r="D64" s="452"/>
      <c r="E64" s="452"/>
      <c r="F64" s="423"/>
      <c r="G64" s="423"/>
      <c r="H64" s="423"/>
      <c r="I64" s="423"/>
    </row>
    <row r="65" spans="1:9" ht="15">
      <c r="A65" s="451"/>
      <c r="B65" s="423"/>
      <c r="C65" s="452"/>
      <c r="D65" s="452"/>
      <c r="E65" s="452"/>
      <c r="F65" s="423"/>
      <c r="G65" s="423"/>
      <c r="H65" s="423"/>
      <c r="I65" s="423"/>
    </row>
    <row r="66" spans="1:9" ht="15">
      <c r="A66" s="451"/>
      <c r="B66" s="423"/>
      <c r="C66" s="452"/>
      <c r="D66" s="452"/>
      <c r="E66" s="452"/>
      <c r="F66" s="423"/>
      <c r="G66" s="423"/>
      <c r="H66" s="423"/>
      <c r="I66" s="423"/>
    </row>
    <row r="67" spans="1:9" ht="15">
      <c r="A67" s="451"/>
      <c r="B67" s="423"/>
      <c r="C67" s="452"/>
      <c r="D67" s="452"/>
      <c r="E67" s="452"/>
      <c r="F67" s="423"/>
      <c r="G67" s="423"/>
      <c r="H67" s="423"/>
      <c r="I67" s="423"/>
    </row>
    <row r="68" spans="1:9" ht="15">
      <c r="A68" s="451"/>
      <c r="B68" s="423"/>
      <c r="C68" s="452"/>
      <c r="D68" s="452"/>
      <c r="E68" s="452"/>
      <c r="F68" s="423"/>
      <c r="G68" s="423"/>
      <c r="H68" s="423"/>
      <c r="I68" s="423"/>
    </row>
    <row r="69" spans="1:9" ht="15">
      <c r="A69" s="451"/>
      <c r="B69" s="423"/>
      <c r="C69" s="452"/>
      <c r="D69" s="452"/>
      <c r="E69" s="452"/>
      <c r="F69" s="423"/>
      <c r="G69" s="423"/>
      <c r="H69" s="423"/>
      <c r="I69" s="423"/>
    </row>
    <row r="70" spans="1:9" ht="15">
      <c r="A70" s="451"/>
      <c r="B70" s="423"/>
      <c r="C70" s="452"/>
      <c r="D70" s="452"/>
      <c r="E70" s="452"/>
      <c r="F70" s="423"/>
      <c r="G70" s="423"/>
      <c r="H70" s="423"/>
      <c r="I70" s="423"/>
    </row>
    <row r="71" spans="1:9" ht="15">
      <c r="A71" s="451"/>
      <c r="B71" s="423"/>
      <c r="C71" s="452"/>
      <c r="D71" s="452"/>
      <c r="E71" s="452"/>
      <c r="F71" s="423"/>
      <c r="G71" s="423"/>
      <c r="H71" s="423"/>
      <c r="I71" s="423"/>
    </row>
    <row r="72" spans="1:9" ht="15">
      <c r="A72" s="451"/>
      <c r="B72" s="423"/>
      <c r="C72" s="452"/>
      <c r="D72" s="452"/>
      <c r="E72" s="452"/>
      <c r="F72" s="423"/>
      <c r="G72" s="423"/>
      <c r="H72" s="423"/>
      <c r="I72" s="423"/>
    </row>
    <row r="73" spans="1:9" ht="15">
      <c r="A73" s="451"/>
      <c r="B73" s="423"/>
      <c r="C73" s="452"/>
      <c r="D73" s="452"/>
      <c r="E73" s="452"/>
      <c r="F73" s="423"/>
      <c r="G73" s="423"/>
      <c r="H73" s="423"/>
      <c r="I73" s="423"/>
    </row>
    <row r="74" spans="1:9" ht="15">
      <c r="A74" s="451"/>
      <c r="B74" s="423"/>
      <c r="C74" s="452"/>
      <c r="D74" s="452"/>
      <c r="E74" s="452"/>
      <c r="F74" s="423"/>
      <c r="G74" s="423"/>
      <c r="H74" s="423"/>
      <c r="I74" s="423"/>
    </row>
    <row r="75" spans="1:9" ht="15">
      <c r="A75" s="451"/>
      <c r="B75" s="423"/>
      <c r="C75" s="452"/>
      <c r="D75" s="452"/>
      <c r="E75" s="452"/>
      <c r="F75" s="423"/>
      <c r="G75" s="423"/>
      <c r="H75" s="423"/>
      <c r="I75" s="423"/>
    </row>
    <row r="76" spans="1:9" ht="15">
      <c r="A76" s="451"/>
      <c r="B76" s="423"/>
      <c r="C76" s="452"/>
      <c r="D76" s="452"/>
      <c r="E76" s="452"/>
      <c r="F76" s="423"/>
      <c r="G76" s="423"/>
      <c r="H76" s="423"/>
      <c r="I76" s="423"/>
    </row>
    <row r="77" spans="1:9" ht="15">
      <c r="A77" s="451"/>
      <c r="B77" s="423"/>
      <c r="C77" s="452"/>
      <c r="D77" s="452"/>
      <c r="E77" s="452"/>
      <c r="F77" s="423"/>
      <c r="G77" s="423"/>
      <c r="H77" s="423"/>
      <c r="I77" s="423"/>
    </row>
    <row r="78" spans="1:9" ht="15">
      <c r="A78" s="451"/>
      <c r="B78" s="423"/>
      <c r="C78" s="452"/>
      <c r="D78" s="452"/>
      <c r="E78" s="452"/>
      <c r="F78" s="423"/>
      <c r="G78" s="423"/>
      <c r="H78" s="423"/>
      <c r="I78" s="423"/>
    </row>
    <row r="79" spans="1:9" ht="15">
      <c r="A79" s="451"/>
      <c r="B79" s="423"/>
      <c r="C79" s="452"/>
      <c r="D79" s="452"/>
      <c r="E79" s="452"/>
      <c r="F79" s="423"/>
      <c r="G79" s="423"/>
      <c r="H79" s="423"/>
      <c r="I79" s="423"/>
    </row>
    <row r="80" spans="1:9" ht="15">
      <c r="A80" s="451"/>
      <c r="B80" s="423"/>
      <c r="C80" s="452"/>
      <c r="D80" s="452"/>
      <c r="E80" s="452"/>
      <c r="F80" s="423"/>
      <c r="G80" s="423"/>
      <c r="H80" s="423"/>
      <c r="I80" s="423"/>
    </row>
    <row r="81" spans="1:9" ht="15">
      <c r="A81" s="451"/>
      <c r="B81" s="423"/>
      <c r="C81" s="452"/>
      <c r="D81" s="452"/>
      <c r="E81" s="452"/>
      <c r="F81" s="423"/>
      <c r="G81" s="423"/>
      <c r="H81" s="423"/>
      <c r="I81" s="423"/>
    </row>
    <row r="82" spans="1:9" ht="15">
      <c r="A82" s="451"/>
      <c r="B82" s="423"/>
      <c r="C82" s="452"/>
      <c r="D82" s="452"/>
      <c r="E82" s="452"/>
      <c r="F82" s="423"/>
      <c r="G82" s="423"/>
      <c r="H82" s="423"/>
      <c r="I82" s="423"/>
    </row>
    <row r="83" spans="1:9" ht="15">
      <c r="A83" s="451"/>
      <c r="B83" s="423"/>
      <c r="C83" s="452"/>
      <c r="D83" s="452"/>
      <c r="E83" s="452"/>
      <c r="F83" s="423"/>
      <c r="G83" s="423"/>
      <c r="H83" s="423"/>
      <c r="I83" s="423"/>
    </row>
    <row r="84" spans="1:9" ht="15">
      <c r="A84" s="451"/>
      <c r="B84" s="423"/>
      <c r="C84" s="452"/>
      <c r="D84" s="452"/>
      <c r="E84" s="452"/>
      <c r="F84" s="423"/>
      <c r="G84" s="423"/>
      <c r="H84" s="423"/>
      <c r="I84" s="423"/>
    </row>
    <row r="85" spans="1:9" ht="15">
      <c r="A85" s="451"/>
      <c r="B85" s="423"/>
      <c r="C85" s="452"/>
      <c r="D85" s="452"/>
      <c r="E85" s="452"/>
      <c r="F85" s="423"/>
      <c r="G85" s="423"/>
      <c r="H85" s="423"/>
      <c r="I85" s="423"/>
    </row>
    <row r="86" spans="1:9" ht="15">
      <c r="A86" s="451"/>
      <c r="B86" s="423"/>
      <c r="C86" s="452"/>
      <c r="D86" s="452"/>
      <c r="E86" s="452"/>
      <c r="F86" s="423"/>
      <c r="G86" s="423"/>
      <c r="H86" s="423"/>
      <c r="I86" s="423"/>
    </row>
    <row r="87" spans="1:9" ht="15">
      <c r="A87" s="451"/>
      <c r="B87" s="423"/>
      <c r="C87" s="452"/>
      <c r="D87" s="452"/>
      <c r="E87" s="452"/>
      <c r="F87" s="423"/>
      <c r="G87" s="423"/>
      <c r="H87" s="423"/>
      <c r="I87" s="423"/>
    </row>
    <row r="88" spans="1:9" ht="15">
      <c r="A88" s="451"/>
      <c r="B88" s="423"/>
      <c r="C88" s="452"/>
      <c r="D88" s="452"/>
      <c r="E88" s="452"/>
      <c r="F88" s="423"/>
      <c r="G88" s="423"/>
      <c r="H88" s="423"/>
      <c r="I88" s="423"/>
    </row>
    <row r="89" spans="1:9" ht="15">
      <c r="A89" s="451"/>
      <c r="B89" s="423"/>
      <c r="C89" s="452"/>
      <c r="D89" s="452"/>
      <c r="E89" s="452"/>
      <c r="F89" s="423"/>
      <c r="G89" s="423"/>
      <c r="H89" s="423"/>
      <c r="I89" s="423"/>
    </row>
    <row r="90" spans="1:9" ht="15">
      <c r="A90" s="451"/>
      <c r="B90" s="423"/>
      <c r="C90" s="452"/>
      <c r="D90" s="452"/>
      <c r="E90" s="452"/>
      <c r="F90" s="423"/>
      <c r="G90" s="423"/>
      <c r="H90" s="423"/>
      <c r="I90" s="423"/>
    </row>
    <row r="91" spans="1:9" ht="15">
      <c r="A91" s="451"/>
      <c r="B91" s="423"/>
      <c r="C91" s="452"/>
      <c r="D91" s="452"/>
      <c r="E91" s="452"/>
      <c r="F91" s="423"/>
      <c r="G91" s="423"/>
      <c r="H91" s="423"/>
      <c r="I91" s="423"/>
    </row>
    <row r="92" spans="1:9" ht="15">
      <c r="A92" s="451"/>
      <c r="B92" s="423"/>
      <c r="C92" s="452"/>
      <c r="D92" s="452"/>
      <c r="E92" s="452"/>
      <c r="F92" s="423"/>
      <c r="G92" s="423"/>
      <c r="H92" s="423"/>
      <c r="I92" s="423"/>
    </row>
    <row r="93" spans="1:9" ht="15">
      <c r="A93" s="451"/>
      <c r="B93" s="423"/>
      <c r="C93" s="452"/>
      <c r="D93" s="452"/>
      <c r="E93" s="452"/>
      <c r="F93" s="423"/>
      <c r="G93" s="423"/>
      <c r="H93" s="423"/>
      <c r="I93" s="423"/>
    </row>
    <row r="94" spans="1:9" ht="15">
      <c r="A94" s="451"/>
      <c r="B94" s="423"/>
      <c r="C94" s="452"/>
      <c r="D94" s="452"/>
      <c r="E94" s="452"/>
      <c r="F94" s="423"/>
      <c r="G94" s="423"/>
      <c r="H94" s="423"/>
      <c r="I94" s="423"/>
    </row>
    <row r="95" spans="1:9" ht="15">
      <c r="A95" s="451"/>
      <c r="B95" s="423"/>
      <c r="C95" s="452"/>
      <c r="D95" s="452"/>
      <c r="E95" s="452"/>
      <c r="F95" s="423"/>
      <c r="G95" s="423"/>
      <c r="H95" s="423"/>
      <c r="I95" s="423"/>
    </row>
    <row r="96" spans="1:9" ht="15">
      <c r="A96" s="451"/>
      <c r="B96" s="423"/>
      <c r="C96" s="452"/>
      <c r="D96" s="452"/>
      <c r="E96" s="452"/>
      <c r="F96" s="423"/>
      <c r="G96" s="423"/>
      <c r="H96" s="423"/>
      <c r="I96" s="423"/>
    </row>
    <row r="97" spans="1:9" ht="15">
      <c r="A97" s="451"/>
      <c r="B97" s="423"/>
      <c r="C97" s="452"/>
      <c r="D97" s="452"/>
      <c r="E97" s="452"/>
      <c r="F97" s="423"/>
      <c r="G97" s="423"/>
      <c r="H97" s="423"/>
      <c r="I97" s="423"/>
    </row>
    <row r="98" spans="1:9" ht="15">
      <c r="A98" s="451"/>
      <c r="B98" s="423"/>
      <c r="C98" s="452"/>
      <c r="D98" s="452"/>
      <c r="E98" s="452"/>
      <c r="F98" s="423"/>
      <c r="G98" s="423"/>
      <c r="H98" s="423"/>
      <c r="I98" s="423"/>
    </row>
    <row r="99" spans="1:9" ht="15">
      <c r="A99" s="451"/>
      <c r="B99" s="423"/>
      <c r="C99" s="452"/>
      <c r="D99" s="452"/>
      <c r="E99" s="452"/>
      <c r="F99" s="423"/>
      <c r="G99" s="423"/>
      <c r="H99" s="423"/>
      <c r="I99" s="423"/>
    </row>
    <row r="100" spans="1:9" ht="15">
      <c r="A100" s="451"/>
      <c r="B100" s="423"/>
      <c r="C100" s="452"/>
      <c r="D100" s="452"/>
      <c r="E100" s="452"/>
      <c r="F100" s="423"/>
      <c r="G100" s="423"/>
      <c r="H100" s="423"/>
      <c r="I100" s="423"/>
    </row>
    <row r="101" spans="1:9" ht="15">
      <c r="A101" s="451"/>
      <c r="B101" s="423"/>
      <c r="C101" s="452"/>
      <c r="D101" s="452"/>
      <c r="E101" s="452"/>
      <c r="F101" s="423"/>
      <c r="G101" s="423"/>
      <c r="H101" s="423"/>
      <c r="I101" s="423"/>
    </row>
    <row r="102" spans="1:9" ht="15">
      <c r="A102" s="451"/>
      <c r="B102" s="423"/>
      <c r="C102" s="452"/>
      <c r="D102" s="452"/>
      <c r="E102" s="452"/>
      <c r="F102" s="423"/>
      <c r="G102" s="423"/>
      <c r="H102" s="423"/>
      <c r="I102" s="423"/>
    </row>
    <row r="103" spans="1:9" ht="15">
      <c r="A103" s="451"/>
      <c r="B103" s="423"/>
      <c r="C103" s="452"/>
      <c r="D103" s="452"/>
      <c r="E103" s="452"/>
      <c r="F103" s="423"/>
      <c r="G103" s="423"/>
      <c r="H103" s="423"/>
      <c r="I103" s="423"/>
    </row>
    <row r="104" spans="1:9" ht="15">
      <c r="A104" s="451"/>
      <c r="B104" s="423"/>
      <c r="C104" s="452"/>
      <c r="D104" s="452"/>
      <c r="E104" s="452"/>
      <c r="F104" s="423"/>
      <c r="G104" s="423"/>
      <c r="H104" s="423"/>
      <c r="I104" s="423"/>
    </row>
    <row r="105" spans="1:9" ht="15">
      <c r="A105" s="451"/>
      <c r="B105" s="423"/>
      <c r="C105" s="452"/>
      <c r="D105" s="452"/>
      <c r="E105" s="452"/>
      <c r="F105" s="423"/>
      <c r="G105" s="423"/>
      <c r="H105" s="423"/>
      <c r="I105" s="423"/>
    </row>
    <row r="106" spans="1:9" ht="15">
      <c r="A106" s="451"/>
      <c r="B106" s="423"/>
      <c r="C106" s="452"/>
      <c r="D106" s="452"/>
      <c r="E106" s="452"/>
      <c r="F106" s="423"/>
      <c r="G106" s="423"/>
      <c r="H106" s="423"/>
      <c r="I106" s="423"/>
    </row>
    <row r="107" spans="3:5" ht="15">
      <c r="C107" s="453"/>
      <c r="D107" s="453"/>
      <c r="E107" s="453"/>
    </row>
    <row r="108" spans="3:5" ht="15">
      <c r="C108" s="453"/>
      <c r="D108" s="453"/>
      <c r="E108" s="453"/>
    </row>
    <row r="109" spans="3:5" ht="15">
      <c r="C109" s="453"/>
      <c r="D109" s="453"/>
      <c r="E109" s="453"/>
    </row>
    <row r="110" spans="3:5" ht="15">
      <c r="C110" s="453"/>
      <c r="D110" s="453"/>
      <c r="E110" s="453"/>
    </row>
    <row r="111" spans="3:5" ht="15">
      <c r="C111" s="453"/>
      <c r="D111" s="453"/>
      <c r="E111" s="453"/>
    </row>
    <row r="112" spans="3:5" ht="15">
      <c r="C112" s="453"/>
      <c r="D112" s="453"/>
      <c r="E112" s="453"/>
    </row>
    <row r="113" spans="3:5" ht="15">
      <c r="C113" s="453"/>
      <c r="D113" s="453"/>
      <c r="E113" s="453"/>
    </row>
    <row r="114" spans="3:5" ht="15">
      <c r="C114" s="453"/>
      <c r="D114" s="453"/>
      <c r="E114" s="453"/>
    </row>
    <row r="115" spans="3:5" ht="15">
      <c r="C115" s="453"/>
      <c r="D115" s="453"/>
      <c r="E115" s="453"/>
    </row>
    <row r="116" spans="3:5" ht="15">
      <c r="C116" s="453"/>
      <c r="D116" s="453"/>
      <c r="E116" s="453"/>
    </row>
    <row r="117" spans="3:5" ht="15">
      <c r="C117" s="453"/>
      <c r="D117" s="453"/>
      <c r="E117" s="453"/>
    </row>
    <row r="118" spans="3:5" ht="15">
      <c r="C118" s="453"/>
      <c r="D118" s="453"/>
      <c r="E118" s="453"/>
    </row>
    <row r="119" spans="3:5" ht="15">
      <c r="C119" s="453"/>
      <c r="D119" s="453"/>
      <c r="E119" s="453"/>
    </row>
    <row r="120" spans="3:5" ht="15">
      <c r="C120" s="453"/>
      <c r="D120" s="453"/>
      <c r="E120" s="453"/>
    </row>
    <row r="121" spans="3:5" ht="15">
      <c r="C121" s="453"/>
      <c r="D121" s="453"/>
      <c r="E121" s="453"/>
    </row>
    <row r="122" spans="3:5" ht="15">
      <c r="C122" s="453"/>
      <c r="D122" s="453"/>
      <c r="E122" s="453"/>
    </row>
    <row r="123" spans="3:5" ht="15">
      <c r="C123" s="453"/>
      <c r="D123" s="453"/>
      <c r="E123" s="453"/>
    </row>
    <row r="124" spans="3:5" ht="15">
      <c r="C124" s="453"/>
      <c r="D124" s="453"/>
      <c r="E124" s="453"/>
    </row>
    <row r="125" spans="3:5" ht="15">
      <c r="C125" s="453"/>
      <c r="D125" s="453"/>
      <c r="E125" s="453"/>
    </row>
    <row r="126" spans="3:5" ht="15">
      <c r="C126" s="453"/>
      <c r="D126" s="453"/>
      <c r="E126" s="453"/>
    </row>
    <row r="127" spans="3:5" ht="15">
      <c r="C127" s="453"/>
      <c r="D127" s="453"/>
      <c r="E127" s="453"/>
    </row>
    <row r="128" spans="3:5" ht="15">
      <c r="C128" s="453"/>
      <c r="D128" s="453"/>
      <c r="E128" s="453"/>
    </row>
    <row r="129" spans="3:5" ht="15">
      <c r="C129" s="453"/>
      <c r="D129" s="453"/>
      <c r="E129" s="453"/>
    </row>
    <row r="130" spans="3:5" ht="15">
      <c r="C130" s="453"/>
      <c r="D130" s="453"/>
      <c r="E130" s="453"/>
    </row>
    <row r="131" spans="3:5" ht="15">
      <c r="C131" s="453"/>
      <c r="D131" s="453"/>
      <c r="E131" s="453"/>
    </row>
    <row r="132" spans="3:5" ht="15">
      <c r="C132" s="453"/>
      <c r="D132" s="453"/>
      <c r="E132" s="453"/>
    </row>
    <row r="133" spans="3:5" ht="15">
      <c r="C133" s="453"/>
      <c r="D133" s="453"/>
      <c r="E133" s="453"/>
    </row>
    <row r="134" spans="3:5" ht="15">
      <c r="C134" s="453"/>
      <c r="D134" s="453"/>
      <c r="E134" s="453"/>
    </row>
    <row r="135" spans="3:5" ht="15">
      <c r="C135" s="453"/>
      <c r="D135" s="453"/>
      <c r="E135" s="453"/>
    </row>
    <row r="136" spans="3:5" ht="15">
      <c r="C136" s="453"/>
      <c r="D136" s="453"/>
      <c r="E136" s="453"/>
    </row>
    <row r="137" spans="3:5" ht="15">
      <c r="C137" s="453"/>
      <c r="D137" s="453"/>
      <c r="E137" s="453"/>
    </row>
    <row r="138" spans="3:5" ht="15">
      <c r="C138" s="453"/>
      <c r="D138" s="453"/>
      <c r="E138" s="453"/>
    </row>
    <row r="139" spans="3:5" ht="15">
      <c r="C139" s="453"/>
      <c r="D139" s="453"/>
      <c r="E139" s="453"/>
    </row>
    <row r="140" spans="3:5" ht="15">
      <c r="C140" s="453"/>
      <c r="D140" s="453"/>
      <c r="E140" s="453"/>
    </row>
    <row r="141" spans="3:5" ht="15">
      <c r="C141" s="453"/>
      <c r="D141" s="453"/>
      <c r="E141" s="453"/>
    </row>
    <row r="142" spans="3:5" ht="15">
      <c r="C142" s="453"/>
      <c r="D142" s="453"/>
      <c r="E142" s="453"/>
    </row>
    <row r="143" spans="3:5" ht="15">
      <c r="C143" s="453"/>
      <c r="D143" s="453"/>
      <c r="E143" s="453"/>
    </row>
    <row r="144" spans="3:5" ht="15">
      <c r="C144" s="453"/>
      <c r="D144" s="453"/>
      <c r="E144" s="453"/>
    </row>
    <row r="145" spans="3:5" ht="15">
      <c r="C145" s="453"/>
      <c r="D145" s="453"/>
      <c r="E145" s="453"/>
    </row>
    <row r="146" spans="3:5" ht="15">
      <c r="C146" s="453"/>
      <c r="D146" s="453"/>
      <c r="E146" s="453"/>
    </row>
    <row r="147" spans="3:5" ht="15">
      <c r="C147" s="453"/>
      <c r="D147" s="453"/>
      <c r="E147" s="453"/>
    </row>
    <row r="148" spans="3:5" ht="15">
      <c r="C148" s="453"/>
      <c r="D148" s="453"/>
      <c r="E148" s="453"/>
    </row>
    <row r="149" spans="3:5" ht="15">
      <c r="C149" s="453"/>
      <c r="D149" s="453"/>
      <c r="E149" s="453"/>
    </row>
    <row r="150" spans="3:5" ht="15">
      <c r="C150" s="453"/>
      <c r="D150" s="453"/>
      <c r="E150" s="453"/>
    </row>
    <row r="151" spans="3:5" ht="15">
      <c r="C151" s="453"/>
      <c r="D151" s="453"/>
      <c r="E151" s="453"/>
    </row>
    <row r="152" spans="3:5" ht="15">
      <c r="C152" s="453"/>
      <c r="D152" s="453"/>
      <c r="E152" s="453"/>
    </row>
    <row r="153" spans="3:5" ht="15">
      <c r="C153" s="453"/>
      <c r="D153" s="453"/>
      <c r="E153" s="453"/>
    </row>
    <row r="154" spans="3:5" ht="15">
      <c r="C154" s="453"/>
      <c r="D154" s="453"/>
      <c r="E154" s="453"/>
    </row>
    <row r="155" spans="3:5" ht="15">
      <c r="C155" s="453"/>
      <c r="D155" s="453"/>
      <c r="E155" s="453"/>
    </row>
    <row r="156" spans="3:5" ht="15">
      <c r="C156" s="453"/>
      <c r="D156" s="453"/>
      <c r="E156" s="453"/>
    </row>
    <row r="157" spans="3:5" ht="15">
      <c r="C157" s="453"/>
      <c r="D157" s="453"/>
      <c r="E157" s="453"/>
    </row>
    <row r="158" spans="3:5" ht="15">
      <c r="C158" s="453"/>
      <c r="D158" s="453"/>
      <c r="E158" s="453"/>
    </row>
    <row r="159" spans="3:5" ht="15">
      <c r="C159" s="453"/>
      <c r="D159" s="453"/>
      <c r="E159" s="453"/>
    </row>
    <row r="160" spans="3:5" ht="15">
      <c r="C160" s="453"/>
      <c r="D160" s="453"/>
      <c r="E160" s="453"/>
    </row>
    <row r="161" spans="3:5" ht="15">
      <c r="C161" s="453"/>
      <c r="D161" s="453"/>
      <c r="E161" s="453"/>
    </row>
    <row r="162" spans="3:5" ht="15">
      <c r="C162" s="453"/>
      <c r="D162" s="453"/>
      <c r="E162" s="453"/>
    </row>
    <row r="163" spans="3:5" ht="15">
      <c r="C163" s="453"/>
      <c r="D163" s="453"/>
      <c r="E163" s="453"/>
    </row>
    <row r="164" spans="3:5" ht="15">
      <c r="C164" s="453"/>
      <c r="D164" s="453"/>
      <c r="E164" s="453"/>
    </row>
    <row r="165" spans="3:5" ht="15">
      <c r="C165" s="453"/>
      <c r="D165" s="453"/>
      <c r="E165" s="453"/>
    </row>
    <row r="166" spans="3:5" ht="15">
      <c r="C166" s="453"/>
      <c r="D166" s="453"/>
      <c r="E166" s="453"/>
    </row>
    <row r="167" spans="3:5" ht="15">
      <c r="C167" s="453"/>
      <c r="D167" s="453"/>
      <c r="E167" s="453"/>
    </row>
    <row r="168" spans="3:5" ht="15">
      <c r="C168" s="453"/>
      <c r="D168" s="453"/>
      <c r="E168" s="453"/>
    </row>
    <row r="169" spans="3:5" ht="15">
      <c r="C169" s="453"/>
      <c r="D169" s="453"/>
      <c r="E169" s="453"/>
    </row>
    <row r="170" spans="3:5" ht="15">
      <c r="C170" s="453"/>
      <c r="D170" s="453"/>
      <c r="E170" s="453"/>
    </row>
    <row r="171" spans="3:5" ht="15">
      <c r="C171" s="453"/>
      <c r="D171" s="453"/>
      <c r="E171" s="453"/>
    </row>
    <row r="172" spans="3:5" ht="15">
      <c r="C172" s="453"/>
      <c r="D172" s="453"/>
      <c r="E172" s="453"/>
    </row>
    <row r="173" spans="3:5" ht="15">
      <c r="C173" s="453"/>
      <c r="D173" s="453"/>
      <c r="E173" s="453"/>
    </row>
    <row r="174" spans="3:5" ht="15">
      <c r="C174" s="453"/>
      <c r="D174" s="453"/>
      <c r="E174" s="453"/>
    </row>
    <row r="175" spans="3:5" ht="15">
      <c r="C175" s="453"/>
      <c r="D175" s="453"/>
      <c r="E175" s="453"/>
    </row>
    <row r="176" spans="3:5" ht="15">
      <c r="C176" s="453"/>
      <c r="D176" s="453"/>
      <c r="E176" s="453"/>
    </row>
    <row r="177" spans="3:5" ht="15">
      <c r="C177" s="453"/>
      <c r="D177" s="453"/>
      <c r="E177" s="453"/>
    </row>
    <row r="178" spans="3:5" ht="15">
      <c r="C178" s="453"/>
      <c r="D178" s="453"/>
      <c r="E178" s="453"/>
    </row>
    <row r="179" spans="3:5" ht="15">
      <c r="C179" s="453"/>
      <c r="D179" s="453"/>
      <c r="E179" s="453"/>
    </row>
    <row r="180" spans="3:5" ht="15">
      <c r="C180" s="453"/>
      <c r="D180" s="453"/>
      <c r="E180" s="453"/>
    </row>
    <row r="181" spans="3:5" ht="15">
      <c r="C181" s="453"/>
      <c r="D181" s="453"/>
      <c r="E181" s="453"/>
    </row>
    <row r="182" spans="3:5" ht="15">
      <c r="C182" s="453"/>
      <c r="D182" s="453"/>
      <c r="E182" s="453"/>
    </row>
    <row r="183" spans="3:5" ht="15">
      <c r="C183" s="453"/>
      <c r="D183" s="453"/>
      <c r="E183" s="453"/>
    </row>
    <row r="184" spans="3:5" ht="15">
      <c r="C184" s="453"/>
      <c r="D184" s="453"/>
      <c r="E184" s="453"/>
    </row>
    <row r="185" spans="3:5" ht="15">
      <c r="C185" s="453"/>
      <c r="D185" s="453"/>
      <c r="E185" s="453"/>
    </row>
    <row r="186" spans="3:5" ht="15">
      <c r="C186" s="453"/>
      <c r="D186" s="453"/>
      <c r="E186" s="453"/>
    </row>
    <row r="187" spans="3:5" ht="15">
      <c r="C187" s="453"/>
      <c r="D187" s="453"/>
      <c r="E187" s="453"/>
    </row>
    <row r="188" spans="3:5" ht="15">
      <c r="C188" s="453"/>
      <c r="D188" s="453"/>
      <c r="E188" s="453"/>
    </row>
    <row r="189" spans="3:5" ht="15">
      <c r="C189" s="453"/>
      <c r="D189" s="453"/>
      <c r="E189" s="453"/>
    </row>
    <row r="190" spans="3:5" ht="15">
      <c r="C190" s="453"/>
      <c r="D190" s="453"/>
      <c r="E190" s="453"/>
    </row>
    <row r="191" spans="3:5" ht="15">
      <c r="C191" s="453"/>
      <c r="D191" s="453"/>
      <c r="E191" s="453"/>
    </row>
    <row r="192" spans="3:5" ht="15">
      <c r="C192" s="453"/>
      <c r="D192" s="453"/>
      <c r="E192" s="453"/>
    </row>
    <row r="193" spans="3:5" ht="15">
      <c r="C193" s="453"/>
      <c r="D193" s="453"/>
      <c r="E193" s="453"/>
    </row>
    <row r="194" spans="3:5" ht="15">
      <c r="C194" s="453"/>
      <c r="D194" s="453"/>
      <c r="E194" s="453"/>
    </row>
    <row r="195" spans="3:5" ht="15">
      <c r="C195" s="453"/>
      <c r="D195" s="453"/>
      <c r="E195" s="453"/>
    </row>
    <row r="196" spans="3:5" ht="15">
      <c r="C196" s="453"/>
      <c r="D196" s="453"/>
      <c r="E196" s="453"/>
    </row>
    <row r="197" spans="3:5" ht="15">
      <c r="C197" s="453"/>
      <c r="D197" s="453"/>
      <c r="E197" s="453"/>
    </row>
    <row r="198" spans="3:5" ht="15">
      <c r="C198" s="453"/>
      <c r="D198" s="453"/>
      <c r="E198" s="453"/>
    </row>
    <row r="199" spans="3:5" ht="15">
      <c r="C199" s="453"/>
      <c r="D199" s="453"/>
      <c r="E199" s="453"/>
    </row>
    <row r="200" spans="3:5" ht="15">
      <c r="C200" s="453"/>
      <c r="D200" s="453"/>
      <c r="E200" s="453"/>
    </row>
    <row r="201" spans="3:5" ht="15">
      <c r="C201" s="453"/>
      <c r="D201" s="453"/>
      <c r="E201" s="453"/>
    </row>
    <row r="202" spans="3:5" ht="15">
      <c r="C202" s="453"/>
      <c r="D202" s="453"/>
      <c r="E202" s="453"/>
    </row>
    <row r="203" spans="3:5" ht="15">
      <c r="C203" s="453"/>
      <c r="D203" s="453"/>
      <c r="E203" s="453"/>
    </row>
    <row r="204" spans="3:5" ht="15">
      <c r="C204" s="453"/>
      <c r="D204" s="453"/>
      <c r="E204" s="453"/>
    </row>
    <row r="205" spans="3:5" ht="15">
      <c r="C205" s="453"/>
      <c r="D205" s="453"/>
      <c r="E205" s="453"/>
    </row>
    <row r="206" spans="3:5" ht="15">
      <c r="C206" s="453"/>
      <c r="D206" s="453"/>
      <c r="E206" s="453"/>
    </row>
    <row r="207" spans="3:5" ht="15">
      <c r="C207" s="453"/>
      <c r="D207" s="453"/>
      <c r="E207" s="453"/>
    </row>
    <row r="208" spans="3:5" ht="15">
      <c r="C208" s="453"/>
      <c r="D208" s="453"/>
      <c r="E208" s="453"/>
    </row>
    <row r="209" spans="3:5" ht="15">
      <c r="C209" s="453"/>
      <c r="D209" s="453"/>
      <c r="E209" s="453"/>
    </row>
    <row r="210" spans="3:5" ht="15">
      <c r="C210" s="453"/>
      <c r="D210" s="453"/>
      <c r="E210" s="453"/>
    </row>
    <row r="211" spans="3:5" ht="15">
      <c r="C211" s="453"/>
      <c r="D211" s="453"/>
      <c r="E211" s="453"/>
    </row>
    <row r="212" spans="3:5" ht="15">
      <c r="C212" s="453"/>
      <c r="D212" s="453"/>
      <c r="E212" s="453"/>
    </row>
    <row r="213" spans="3:5" ht="15">
      <c r="C213" s="453"/>
      <c r="D213" s="453"/>
      <c r="E213" s="453"/>
    </row>
    <row r="214" spans="3:5" ht="15">
      <c r="C214" s="453"/>
      <c r="D214" s="453"/>
      <c r="E214" s="453"/>
    </row>
    <row r="215" spans="3:5" ht="15">
      <c r="C215" s="453"/>
      <c r="D215" s="453"/>
      <c r="E215" s="453"/>
    </row>
    <row r="216" spans="3:5" ht="15">
      <c r="C216" s="453"/>
      <c r="D216" s="453"/>
      <c r="E216" s="453"/>
    </row>
    <row r="217" spans="3:5" ht="15">
      <c r="C217" s="453"/>
      <c r="D217" s="453"/>
      <c r="E217" s="453"/>
    </row>
    <row r="218" spans="3:5" ht="15">
      <c r="C218" s="453"/>
      <c r="D218" s="453"/>
      <c r="E218" s="453"/>
    </row>
    <row r="219" spans="3:5" ht="15">
      <c r="C219" s="453"/>
      <c r="D219" s="453"/>
      <c r="E219" s="453"/>
    </row>
    <row r="220" spans="3:5" ht="15">
      <c r="C220" s="453"/>
      <c r="D220" s="453"/>
      <c r="E220" s="453"/>
    </row>
    <row r="221" spans="3:5" ht="15">
      <c r="C221" s="453"/>
      <c r="D221" s="453"/>
      <c r="E221" s="453"/>
    </row>
    <row r="222" spans="3:5" ht="15">
      <c r="C222" s="453"/>
      <c r="D222" s="453"/>
      <c r="E222" s="453"/>
    </row>
    <row r="223" spans="3:5" ht="15">
      <c r="C223" s="453"/>
      <c r="D223" s="453"/>
      <c r="E223" s="453"/>
    </row>
    <row r="224" spans="3:5" ht="15">
      <c r="C224" s="453"/>
      <c r="D224" s="453"/>
      <c r="E224" s="453"/>
    </row>
    <row r="225" spans="3:5" ht="15">
      <c r="C225" s="453"/>
      <c r="D225" s="453"/>
      <c r="E225" s="453"/>
    </row>
    <row r="226" spans="3:5" ht="15">
      <c r="C226" s="453"/>
      <c r="D226" s="453"/>
      <c r="E226" s="453"/>
    </row>
    <row r="227" spans="3:5" ht="15">
      <c r="C227" s="453"/>
      <c r="D227" s="453"/>
      <c r="E227" s="453"/>
    </row>
    <row r="228" spans="3:5" ht="15">
      <c r="C228" s="453"/>
      <c r="D228" s="453"/>
      <c r="E228" s="453"/>
    </row>
    <row r="229" spans="3:5" ht="15">
      <c r="C229" s="453"/>
      <c r="D229" s="453"/>
      <c r="E229" s="453"/>
    </row>
    <row r="230" spans="3:5" ht="15">
      <c r="C230" s="453"/>
      <c r="D230" s="453"/>
      <c r="E230" s="453"/>
    </row>
    <row r="231" spans="3:5" ht="15">
      <c r="C231" s="453"/>
      <c r="D231" s="453"/>
      <c r="E231" s="453"/>
    </row>
    <row r="232" spans="3:5" ht="15">
      <c r="C232" s="453"/>
      <c r="D232" s="453"/>
      <c r="E232" s="453"/>
    </row>
    <row r="233" spans="3:5" ht="15">
      <c r="C233" s="453"/>
      <c r="D233" s="453"/>
      <c r="E233" s="453"/>
    </row>
    <row r="234" spans="3:5" ht="15">
      <c r="C234" s="453"/>
      <c r="D234" s="453"/>
      <c r="E234" s="453"/>
    </row>
    <row r="235" spans="3:5" ht="15">
      <c r="C235" s="453"/>
      <c r="D235" s="453"/>
      <c r="E235" s="453"/>
    </row>
    <row r="236" spans="3:5" ht="15">
      <c r="C236" s="453"/>
      <c r="D236" s="453"/>
      <c r="E236" s="453"/>
    </row>
    <row r="237" spans="3:5" ht="15">
      <c r="C237" s="453"/>
      <c r="D237" s="453"/>
      <c r="E237" s="453"/>
    </row>
    <row r="238" spans="3:5" ht="15">
      <c r="C238" s="453"/>
      <c r="D238" s="453"/>
      <c r="E238" s="453"/>
    </row>
    <row r="239" spans="3:5" ht="15">
      <c r="C239" s="453"/>
      <c r="D239" s="453"/>
      <c r="E239" s="453"/>
    </row>
    <row r="240" spans="3:5" ht="15">
      <c r="C240" s="453"/>
      <c r="D240" s="453"/>
      <c r="E240" s="453"/>
    </row>
    <row r="241" spans="3:5" ht="15">
      <c r="C241" s="453"/>
      <c r="D241" s="453"/>
      <c r="E241" s="453"/>
    </row>
    <row r="242" spans="3:5" ht="15">
      <c r="C242" s="453"/>
      <c r="D242" s="453"/>
      <c r="E242" s="453"/>
    </row>
    <row r="243" spans="3:5" ht="15">
      <c r="C243" s="453"/>
      <c r="D243" s="453"/>
      <c r="E243" s="453"/>
    </row>
    <row r="244" spans="3:5" ht="15">
      <c r="C244" s="453"/>
      <c r="D244" s="453"/>
      <c r="E244" s="453"/>
    </row>
    <row r="245" spans="3:5" ht="15">
      <c r="C245" s="453"/>
      <c r="D245" s="453"/>
      <c r="E245" s="453"/>
    </row>
    <row r="246" spans="3:5" ht="15">
      <c r="C246" s="453"/>
      <c r="D246" s="453"/>
      <c r="E246" s="453"/>
    </row>
    <row r="247" spans="3:5" ht="15">
      <c r="C247" s="453"/>
      <c r="D247" s="453"/>
      <c r="E247" s="453"/>
    </row>
    <row r="248" spans="3:5" ht="15">
      <c r="C248" s="453"/>
      <c r="D248" s="453"/>
      <c r="E248" s="453"/>
    </row>
    <row r="249" spans="3:5" ht="15">
      <c r="C249" s="453"/>
      <c r="D249" s="453"/>
      <c r="E249" s="453"/>
    </row>
    <row r="250" spans="3:5" ht="15">
      <c r="C250" s="453"/>
      <c r="D250" s="453"/>
      <c r="E250" s="453"/>
    </row>
    <row r="251" spans="3:5" ht="15">
      <c r="C251" s="453"/>
      <c r="D251" s="453"/>
      <c r="E251" s="453"/>
    </row>
    <row r="252" spans="3:5" ht="15">
      <c r="C252" s="453"/>
      <c r="D252" s="453"/>
      <c r="E252" s="453"/>
    </row>
    <row r="253" spans="3:5" ht="15">
      <c r="C253" s="453"/>
      <c r="D253" s="453"/>
      <c r="E253" s="453"/>
    </row>
    <row r="254" spans="3:5" ht="15">
      <c r="C254" s="453"/>
      <c r="D254" s="453"/>
      <c r="E254" s="453"/>
    </row>
    <row r="255" spans="3:5" ht="15">
      <c r="C255" s="453"/>
      <c r="D255" s="453"/>
      <c r="E255" s="453"/>
    </row>
    <row r="256" spans="3:5" ht="15">
      <c r="C256" s="453"/>
      <c r="D256" s="453"/>
      <c r="E256" s="453"/>
    </row>
    <row r="257" spans="3:5" ht="15">
      <c r="C257" s="453"/>
      <c r="D257" s="453"/>
      <c r="E257" s="453"/>
    </row>
    <row r="258" spans="3:5" ht="15">
      <c r="C258" s="453"/>
      <c r="D258" s="453"/>
      <c r="E258" s="453"/>
    </row>
    <row r="259" spans="3:5" ht="15">
      <c r="C259" s="453"/>
      <c r="D259" s="453"/>
      <c r="E259" s="453"/>
    </row>
    <row r="260" spans="3:5" ht="15">
      <c r="C260" s="453"/>
      <c r="D260" s="453"/>
      <c r="E260" s="453"/>
    </row>
    <row r="261" spans="3:5" ht="15">
      <c r="C261" s="453"/>
      <c r="D261" s="453"/>
      <c r="E261" s="453"/>
    </row>
    <row r="262" spans="3:5" ht="15">
      <c r="C262" s="453"/>
      <c r="D262" s="453"/>
      <c r="E262" s="453"/>
    </row>
    <row r="263" spans="3:5" ht="15">
      <c r="C263" s="453"/>
      <c r="D263" s="453"/>
      <c r="E263" s="453"/>
    </row>
    <row r="264" spans="3:5" ht="15">
      <c r="C264" s="453"/>
      <c r="D264" s="453"/>
      <c r="E264" s="453"/>
    </row>
    <row r="265" spans="3:5" ht="15">
      <c r="C265" s="453"/>
      <c r="D265" s="453"/>
      <c r="E265" s="453"/>
    </row>
    <row r="266" spans="3:5" ht="15">
      <c r="C266" s="453"/>
      <c r="D266" s="453"/>
      <c r="E266" s="453"/>
    </row>
    <row r="267" spans="3:5" ht="15">
      <c r="C267" s="453"/>
      <c r="D267" s="453"/>
      <c r="E267" s="453"/>
    </row>
    <row r="268" spans="3:5" ht="15">
      <c r="C268" s="453"/>
      <c r="D268" s="453"/>
      <c r="E268" s="453"/>
    </row>
    <row r="269" spans="3:5" ht="15">
      <c r="C269" s="453"/>
      <c r="D269" s="453"/>
      <c r="E269" s="453"/>
    </row>
    <row r="270" spans="3:5" ht="15">
      <c r="C270" s="453"/>
      <c r="D270" s="453"/>
      <c r="E270" s="453"/>
    </row>
    <row r="271" spans="3:5" ht="15">
      <c r="C271" s="453"/>
      <c r="D271" s="453"/>
      <c r="E271" s="453"/>
    </row>
    <row r="272" spans="3:5" ht="15">
      <c r="C272" s="453"/>
      <c r="D272" s="453"/>
      <c r="E272" s="453"/>
    </row>
    <row r="273" spans="3:5" ht="15">
      <c r="C273" s="453"/>
      <c r="D273" s="453"/>
      <c r="E273" s="453"/>
    </row>
    <row r="274" spans="3:5" ht="15">
      <c r="C274" s="453"/>
      <c r="D274" s="453"/>
      <c r="E274" s="453"/>
    </row>
    <row r="275" spans="3:5" ht="15">
      <c r="C275" s="453"/>
      <c r="D275" s="453"/>
      <c r="E275" s="453"/>
    </row>
    <row r="276" spans="3:5" ht="15">
      <c r="C276" s="453"/>
      <c r="D276" s="453"/>
      <c r="E276" s="453"/>
    </row>
    <row r="277" spans="3:5" ht="15">
      <c r="C277" s="453"/>
      <c r="D277" s="453"/>
      <c r="E277" s="453"/>
    </row>
    <row r="278" spans="3:5" ht="15">
      <c r="C278" s="453"/>
      <c r="D278" s="453"/>
      <c r="E278" s="453"/>
    </row>
    <row r="279" spans="3:5" ht="15">
      <c r="C279" s="453"/>
      <c r="D279" s="453"/>
      <c r="E279" s="453"/>
    </row>
    <row r="280" spans="3:5" ht="15">
      <c r="C280" s="453"/>
      <c r="D280" s="453"/>
      <c r="E280" s="453"/>
    </row>
    <row r="281" spans="3:5" ht="15">
      <c r="C281" s="453"/>
      <c r="D281" s="453"/>
      <c r="E281" s="453"/>
    </row>
    <row r="282" spans="3:5" ht="15">
      <c r="C282" s="453"/>
      <c r="D282" s="453"/>
      <c r="E282" s="453"/>
    </row>
    <row r="283" spans="3:5" ht="15">
      <c r="C283" s="453"/>
      <c r="D283" s="453"/>
      <c r="E283" s="453"/>
    </row>
    <row r="284" spans="3:5" ht="15">
      <c r="C284" s="453"/>
      <c r="D284" s="453"/>
      <c r="E284" s="453"/>
    </row>
    <row r="285" spans="3:5" ht="15">
      <c r="C285" s="453"/>
      <c r="D285" s="453"/>
      <c r="E285" s="453"/>
    </row>
    <row r="286" spans="3:5" ht="15">
      <c r="C286" s="453"/>
      <c r="D286" s="453"/>
      <c r="E286" s="453"/>
    </row>
    <row r="287" spans="3:5" ht="15">
      <c r="C287" s="453"/>
      <c r="D287" s="453"/>
      <c r="E287" s="453"/>
    </row>
    <row r="288" spans="3:5" ht="15">
      <c r="C288" s="453"/>
      <c r="D288" s="453"/>
      <c r="E288" s="453"/>
    </row>
    <row r="289" spans="3:5" ht="15">
      <c r="C289" s="453"/>
      <c r="D289" s="453"/>
      <c r="E289" s="453"/>
    </row>
    <row r="290" spans="3:5" ht="15">
      <c r="C290" s="453"/>
      <c r="D290" s="453"/>
      <c r="E290" s="453"/>
    </row>
    <row r="291" spans="3:5" ht="15">
      <c r="C291" s="453"/>
      <c r="D291" s="453"/>
      <c r="E291" s="453"/>
    </row>
    <row r="292" spans="3:5" ht="15">
      <c r="C292" s="453"/>
      <c r="D292" s="453"/>
      <c r="E292" s="453"/>
    </row>
    <row r="293" spans="3:5" ht="15">
      <c r="C293" s="453"/>
      <c r="D293" s="453"/>
      <c r="E293" s="453"/>
    </row>
    <row r="294" spans="3:5" ht="15">
      <c r="C294" s="453"/>
      <c r="D294" s="453"/>
      <c r="E294" s="453"/>
    </row>
    <row r="295" spans="3:5" ht="15">
      <c r="C295" s="453"/>
      <c r="D295" s="453"/>
      <c r="E295" s="453"/>
    </row>
    <row r="296" spans="3:5" ht="15">
      <c r="C296" s="453"/>
      <c r="D296" s="453"/>
      <c r="E296" s="453"/>
    </row>
    <row r="297" spans="3:5" ht="15">
      <c r="C297" s="453"/>
      <c r="D297" s="453"/>
      <c r="E297" s="453"/>
    </row>
    <row r="298" spans="3:5" ht="15">
      <c r="C298" s="453"/>
      <c r="D298" s="453"/>
      <c r="E298" s="453"/>
    </row>
    <row r="299" spans="3:5" ht="15">
      <c r="C299" s="453"/>
      <c r="D299" s="453"/>
      <c r="E299" s="453"/>
    </row>
    <row r="300" spans="3:5" ht="15">
      <c r="C300" s="453"/>
      <c r="D300" s="453"/>
      <c r="E300" s="453"/>
    </row>
    <row r="301" spans="3:5" ht="15">
      <c r="C301" s="453"/>
      <c r="D301" s="453"/>
      <c r="E301" s="453"/>
    </row>
    <row r="302" spans="3:5" ht="15">
      <c r="C302" s="453"/>
      <c r="D302" s="453"/>
      <c r="E302" s="453"/>
    </row>
    <row r="303" spans="3:5" ht="15">
      <c r="C303" s="453"/>
      <c r="D303" s="453"/>
      <c r="E303" s="453"/>
    </row>
    <row r="304" spans="3:5" ht="15">
      <c r="C304" s="453"/>
      <c r="D304" s="453"/>
      <c r="E304" s="453"/>
    </row>
    <row r="305" spans="3:5" ht="15">
      <c r="C305" s="453"/>
      <c r="D305" s="453"/>
      <c r="E305" s="453"/>
    </row>
    <row r="306" spans="3:5" ht="15">
      <c r="C306" s="453"/>
      <c r="D306" s="453"/>
      <c r="E306" s="453"/>
    </row>
    <row r="307" spans="3:5" ht="15">
      <c r="C307" s="453"/>
      <c r="D307" s="453"/>
      <c r="E307" s="453"/>
    </row>
    <row r="308" spans="3:5" ht="15">
      <c r="C308" s="453"/>
      <c r="D308" s="453"/>
      <c r="E308" s="453"/>
    </row>
    <row r="309" spans="3:5" ht="15">
      <c r="C309" s="453"/>
      <c r="D309" s="453"/>
      <c r="E309" s="453"/>
    </row>
    <row r="310" spans="3:5" ht="15">
      <c r="C310" s="453"/>
      <c r="D310" s="453"/>
      <c r="E310" s="453"/>
    </row>
    <row r="311" spans="3:5" ht="15">
      <c r="C311" s="453"/>
      <c r="D311" s="453"/>
      <c r="E311" s="453"/>
    </row>
    <row r="312" spans="3:5" ht="15">
      <c r="C312" s="453"/>
      <c r="D312" s="453"/>
      <c r="E312" s="453"/>
    </row>
    <row r="313" spans="3:5" ht="15">
      <c r="C313" s="453"/>
      <c r="D313" s="453"/>
      <c r="E313" s="453"/>
    </row>
    <row r="314" spans="3:5" ht="15">
      <c r="C314" s="453"/>
      <c r="D314" s="453"/>
      <c r="E314" s="453"/>
    </row>
    <row r="315" spans="3:5" ht="15">
      <c r="C315" s="453"/>
      <c r="D315" s="453"/>
      <c r="E315" s="453"/>
    </row>
    <row r="316" spans="3:5" ht="15">
      <c r="C316" s="453"/>
      <c r="D316" s="453"/>
      <c r="E316" s="453"/>
    </row>
    <row r="317" spans="3:5" ht="15">
      <c r="C317" s="453"/>
      <c r="D317" s="453"/>
      <c r="E317" s="453"/>
    </row>
    <row r="318" spans="3:5" ht="15">
      <c r="C318" s="453"/>
      <c r="D318" s="453"/>
      <c r="E318" s="453"/>
    </row>
    <row r="319" spans="3:5" ht="15">
      <c r="C319" s="453"/>
      <c r="D319" s="453"/>
      <c r="E319" s="453"/>
    </row>
    <row r="320" spans="3:5" ht="15">
      <c r="C320" s="453"/>
      <c r="D320" s="453"/>
      <c r="E320" s="453"/>
    </row>
    <row r="321" spans="3:5" ht="15">
      <c r="C321" s="453"/>
      <c r="D321" s="453"/>
      <c r="E321" s="453"/>
    </row>
    <row r="322" spans="3:5" ht="15">
      <c r="C322" s="453"/>
      <c r="D322" s="453"/>
      <c r="E322" s="453"/>
    </row>
    <row r="323" spans="3:5" ht="15">
      <c r="C323" s="453"/>
      <c r="D323" s="453"/>
      <c r="E323" s="453"/>
    </row>
    <row r="324" spans="3:5" ht="15">
      <c r="C324" s="453"/>
      <c r="D324" s="453"/>
      <c r="E324" s="453"/>
    </row>
    <row r="325" spans="3:5" ht="15">
      <c r="C325" s="453"/>
      <c r="D325" s="453"/>
      <c r="E325" s="453"/>
    </row>
    <row r="326" spans="3:5" ht="15">
      <c r="C326" s="453"/>
      <c r="D326" s="453"/>
      <c r="E326" s="453"/>
    </row>
    <row r="327" spans="3:5" ht="15">
      <c r="C327" s="453"/>
      <c r="D327" s="453"/>
      <c r="E327" s="453"/>
    </row>
    <row r="328" spans="3:5" ht="15">
      <c r="C328" s="453"/>
      <c r="D328" s="453"/>
      <c r="E328" s="453"/>
    </row>
    <row r="329" spans="3:5" ht="15">
      <c r="C329" s="453"/>
      <c r="D329" s="453"/>
      <c r="E329" s="453"/>
    </row>
    <row r="330" spans="3:5" ht="15">
      <c r="C330" s="453"/>
      <c r="D330" s="453"/>
      <c r="E330" s="453"/>
    </row>
    <row r="331" spans="3:5" ht="15">
      <c r="C331" s="453"/>
      <c r="D331" s="453"/>
      <c r="E331" s="453"/>
    </row>
    <row r="332" spans="3:5" ht="15">
      <c r="C332" s="453"/>
      <c r="D332" s="453"/>
      <c r="E332" s="453"/>
    </row>
    <row r="333" spans="3:5" ht="15">
      <c r="C333" s="453"/>
      <c r="D333" s="453"/>
      <c r="E333" s="453"/>
    </row>
    <row r="334" spans="3:5" ht="15">
      <c r="C334" s="453"/>
      <c r="D334" s="453"/>
      <c r="E334" s="453"/>
    </row>
    <row r="335" spans="3:5" ht="15">
      <c r="C335" s="453"/>
      <c r="D335" s="453"/>
      <c r="E335" s="453"/>
    </row>
    <row r="336" spans="3:5" ht="15">
      <c r="C336" s="453"/>
      <c r="D336" s="453"/>
      <c r="E336" s="453"/>
    </row>
    <row r="337" spans="3:5" ht="15">
      <c r="C337" s="453"/>
      <c r="D337" s="453"/>
      <c r="E337" s="453"/>
    </row>
    <row r="338" spans="3:5" ht="15">
      <c r="C338" s="453"/>
      <c r="D338" s="453"/>
      <c r="E338" s="453"/>
    </row>
    <row r="339" spans="3:5" ht="15">
      <c r="C339" s="453"/>
      <c r="D339" s="453"/>
      <c r="E339" s="453"/>
    </row>
    <row r="340" spans="3:5" ht="15">
      <c r="C340" s="453"/>
      <c r="D340" s="453"/>
      <c r="E340" s="453"/>
    </row>
    <row r="341" spans="3:5" ht="15">
      <c r="C341" s="453"/>
      <c r="D341" s="453"/>
      <c r="E341" s="453"/>
    </row>
    <row r="342" spans="3:5" ht="15">
      <c r="C342" s="453"/>
      <c r="D342" s="453"/>
      <c r="E342" s="453"/>
    </row>
    <row r="343" spans="3:5" ht="15">
      <c r="C343" s="453"/>
      <c r="D343" s="453"/>
      <c r="E343" s="453"/>
    </row>
    <row r="344" spans="3:5" ht="15">
      <c r="C344" s="453"/>
      <c r="D344" s="453"/>
      <c r="E344" s="453"/>
    </row>
    <row r="345" spans="3:5" ht="15">
      <c r="C345" s="453"/>
      <c r="D345" s="453"/>
      <c r="E345" s="453"/>
    </row>
    <row r="346" spans="3:5" ht="15">
      <c r="C346" s="453"/>
      <c r="D346" s="453"/>
      <c r="E346" s="453"/>
    </row>
    <row r="347" spans="3:5" ht="15">
      <c r="C347" s="453"/>
      <c r="D347" s="453"/>
      <c r="E347" s="453"/>
    </row>
    <row r="348" spans="3:5" ht="15">
      <c r="C348" s="453"/>
      <c r="D348" s="453"/>
      <c r="E348" s="453"/>
    </row>
    <row r="349" spans="3:5" ht="15">
      <c r="C349" s="453"/>
      <c r="D349" s="453"/>
      <c r="E349" s="453"/>
    </row>
    <row r="350" spans="3:5" ht="15">
      <c r="C350" s="453"/>
      <c r="D350" s="453"/>
      <c r="E350" s="453"/>
    </row>
    <row r="351" spans="3:5" ht="15">
      <c r="C351" s="453"/>
      <c r="D351" s="453"/>
      <c r="E351" s="453"/>
    </row>
    <row r="352" spans="3:5" ht="15">
      <c r="C352" s="453"/>
      <c r="D352" s="453"/>
      <c r="E352" s="453"/>
    </row>
    <row r="353" spans="3:5" ht="15">
      <c r="C353" s="453"/>
      <c r="D353" s="453"/>
      <c r="E353" s="453"/>
    </row>
    <row r="354" spans="3:5" ht="15">
      <c r="C354" s="453"/>
      <c r="D354" s="453"/>
      <c r="E354" s="453"/>
    </row>
    <row r="355" spans="3:5" ht="15">
      <c r="C355" s="453"/>
      <c r="D355" s="453"/>
      <c r="E355" s="453"/>
    </row>
    <row r="356" spans="3:5" ht="15">
      <c r="C356" s="453"/>
      <c r="D356" s="453"/>
      <c r="E356" s="453"/>
    </row>
    <row r="357" spans="3:5" ht="15">
      <c r="C357" s="453"/>
      <c r="D357" s="453"/>
      <c r="E357" s="453"/>
    </row>
    <row r="358" spans="3:5" ht="15">
      <c r="C358" s="453"/>
      <c r="D358" s="453"/>
      <c r="E358" s="453"/>
    </row>
    <row r="359" spans="3:5" ht="15">
      <c r="C359" s="453"/>
      <c r="D359" s="453"/>
      <c r="E359" s="453"/>
    </row>
    <row r="360" spans="3:5" ht="15">
      <c r="C360" s="453"/>
      <c r="D360" s="453"/>
      <c r="E360" s="453"/>
    </row>
    <row r="361" spans="3:5" ht="15">
      <c r="C361" s="453"/>
      <c r="D361" s="453"/>
      <c r="E361" s="453"/>
    </row>
    <row r="362" spans="3:5" ht="15">
      <c r="C362" s="453"/>
      <c r="D362" s="453"/>
      <c r="E362" s="453"/>
    </row>
    <row r="363" spans="3:5" ht="15">
      <c r="C363" s="453"/>
      <c r="D363" s="453"/>
      <c r="E363" s="453"/>
    </row>
    <row r="364" spans="3:5" ht="15">
      <c r="C364" s="453"/>
      <c r="D364" s="453"/>
      <c r="E364" s="453"/>
    </row>
    <row r="365" spans="3:5" ht="15">
      <c r="C365" s="453"/>
      <c r="D365" s="453"/>
      <c r="E365" s="453"/>
    </row>
    <row r="366" spans="3:5" ht="15">
      <c r="C366" s="453"/>
      <c r="D366" s="453"/>
      <c r="E366" s="453"/>
    </row>
    <row r="367" spans="3:5" ht="15">
      <c r="C367" s="453"/>
      <c r="D367" s="453"/>
      <c r="E367" s="453"/>
    </row>
    <row r="368" spans="3:5" ht="15">
      <c r="C368" s="453"/>
      <c r="D368" s="453"/>
      <c r="E368" s="453"/>
    </row>
    <row r="369" spans="3:5" ht="15">
      <c r="C369" s="453"/>
      <c r="D369" s="453"/>
      <c r="E369" s="453"/>
    </row>
    <row r="370" spans="3:5" ht="15">
      <c r="C370" s="453"/>
      <c r="D370" s="453"/>
      <c r="E370" s="453"/>
    </row>
    <row r="371" spans="3:5" ht="15">
      <c r="C371" s="453"/>
      <c r="D371" s="453"/>
      <c r="E371" s="453"/>
    </row>
    <row r="372" spans="3:5" ht="15">
      <c r="C372" s="453"/>
      <c r="D372" s="453"/>
      <c r="E372" s="453"/>
    </row>
    <row r="373" spans="3:5" ht="15">
      <c r="C373" s="453"/>
      <c r="D373" s="453"/>
      <c r="E373" s="453"/>
    </row>
    <row r="374" spans="3:5" ht="15">
      <c r="C374" s="453"/>
      <c r="D374" s="453"/>
      <c r="E374" s="453"/>
    </row>
    <row r="375" spans="3:5" ht="15">
      <c r="C375" s="453"/>
      <c r="D375" s="453"/>
      <c r="E375" s="453"/>
    </row>
    <row r="376" spans="3:5" ht="15">
      <c r="C376" s="453"/>
      <c r="D376" s="453"/>
      <c r="E376" s="453"/>
    </row>
    <row r="377" spans="3:5" ht="15">
      <c r="C377" s="453"/>
      <c r="D377" s="453"/>
      <c r="E377" s="453"/>
    </row>
    <row r="378" spans="3:5" ht="15">
      <c r="C378" s="453"/>
      <c r="D378" s="453"/>
      <c r="E378" s="453"/>
    </row>
    <row r="379" spans="3:5" ht="15">
      <c r="C379" s="453"/>
      <c r="D379" s="453"/>
      <c r="E379" s="453"/>
    </row>
    <row r="380" spans="3:5" ht="15">
      <c r="C380" s="453"/>
      <c r="D380" s="453"/>
      <c r="E380" s="453"/>
    </row>
    <row r="381" spans="3:5" ht="15">
      <c r="C381" s="453"/>
      <c r="D381" s="453"/>
      <c r="E381" s="453"/>
    </row>
    <row r="382" spans="3:5" ht="15">
      <c r="C382" s="453"/>
      <c r="D382" s="453"/>
      <c r="E382" s="453"/>
    </row>
    <row r="383" spans="3:5" ht="15">
      <c r="C383" s="453"/>
      <c r="D383" s="453"/>
      <c r="E383" s="453"/>
    </row>
    <row r="384" spans="3:5" ht="15">
      <c r="C384" s="453"/>
      <c r="D384" s="453"/>
      <c r="E384" s="453"/>
    </row>
    <row r="385" spans="3:5" ht="15">
      <c r="C385" s="453"/>
      <c r="D385" s="453"/>
      <c r="E385" s="453"/>
    </row>
    <row r="386" spans="3:5" ht="15">
      <c r="C386" s="453"/>
      <c r="D386" s="453"/>
      <c r="E386" s="453"/>
    </row>
    <row r="387" spans="3:5" ht="15">
      <c r="C387" s="453"/>
      <c r="D387" s="453"/>
      <c r="E387" s="453"/>
    </row>
    <row r="388" spans="3:5" ht="15">
      <c r="C388" s="453"/>
      <c r="D388" s="453"/>
      <c r="E388" s="453"/>
    </row>
    <row r="389" spans="3:5" ht="15">
      <c r="C389" s="453"/>
      <c r="D389" s="453"/>
      <c r="E389" s="453"/>
    </row>
    <row r="390" spans="3:5" ht="15">
      <c r="C390" s="453"/>
      <c r="D390" s="453"/>
      <c r="E390" s="453"/>
    </row>
    <row r="391" spans="3:5" ht="15">
      <c r="C391" s="453"/>
      <c r="D391" s="453"/>
      <c r="E391" s="453"/>
    </row>
    <row r="392" spans="3:5" ht="15">
      <c r="C392" s="453"/>
      <c r="D392" s="453"/>
      <c r="E392" s="453"/>
    </row>
    <row r="393" spans="3:5" ht="15">
      <c r="C393" s="453"/>
      <c r="D393" s="453"/>
      <c r="E393" s="453"/>
    </row>
    <row r="394" spans="3:5" ht="15">
      <c r="C394" s="453"/>
      <c r="D394" s="453"/>
      <c r="E394" s="453"/>
    </row>
    <row r="395" spans="3:5" ht="15">
      <c r="C395" s="453"/>
      <c r="D395" s="453"/>
      <c r="E395" s="453"/>
    </row>
    <row r="396" spans="3:5" ht="15">
      <c r="C396" s="453"/>
      <c r="D396" s="453"/>
      <c r="E396" s="453"/>
    </row>
    <row r="397" spans="3:5" ht="15">
      <c r="C397" s="453"/>
      <c r="D397" s="453"/>
      <c r="E397" s="453"/>
    </row>
    <row r="398" spans="3:5" ht="15">
      <c r="C398" s="453"/>
      <c r="D398" s="453"/>
      <c r="E398" s="453"/>
    </row>
    <row r="399" spans="3:5" ht="15">
      <c r="C399" s="453"/>
      <c r="D399" s="453"/>
      <c r="E399" s="453"/>
    </row>
    <row r="400" spans="3:5" ht="15">
      <c r="C400" s="453"/>
      <c r="D400" s="453"/>
      <c r="E400" s="453"/>
    </row>
    <row r="401" spans="3:5" ht="15">
      <c r="C401" s="453"/>
      <c r="D401" s="453"/>
      <c r="E401" s="453"/>
    </row>
    <row r="402" spans="3:5" ht="15">
      <c r="C402" s="453"/>
      <c r="D402" s="453"/>
      <c r="E402" s="453"/>
    </row>
    <row r="403" spans="3:5" ht="15">
      <c r="C403" s="453"/>
      <c r="D403" s="453"/>
      <c r="E403" s="453"/>
    </row>
    <row r="404" spans="3:5" ht="15">
      <c r="C404" s="453"/>
      <c r="D404" s="453"/>
      <c r="E404" s="453"/>
    </row>
    <row r="405" spans="3:5" ht="15">
      <c r="C405" s="453"/>
      <c r="D405" s="453"/>
      <c r="E405" s="453"/>
    </row>
    <row r="406" spans="3:5" ht="15">
      <c r="C406" s="453"/>
      <c r="D406" s="453"/>
      <c r="E406" s="453"/>
    </row>
    <row r="407" spans="3:5" ht="15">
      <c r="C407" s="453"/>
      <c r="D407" s="453"/>
      <c r="E407" s="453"/>
    </row>
    <row r="408" spans="3:5" ht="15">
      <c r="C408" s="453"/>
      <c r="D408" s="453"/>
      <c r="E408" s="453"/>
    </row>
    <row r="409" spans="3:5" ht="15">
      <c r="C409" s="453"/>
      <c r="D409" s="453"/>
      <c r="E409" s="453"/>
    </row>
    <row r="410" spans="3:5" ht="15">
      <c r="C410" s="453"/>
      <c r="D410" s="453"/>
      <c r="E410" s="453"/>
    </row>
    <row r="411" spans="3:5" ht="15">
      <c r="C411" s="453"/>
      <c r="D411" s="453"/>
      <c r="E411" s="453"/>
    </row>
    <row r="412" spans="3:5" ht="15">
      <c r="C412" s="453"/>
      <c r="D412" s="453"/>
      <c r="E412" s="453"/>
    </row>
    <row r="413" spans="3:5" ht="15">
      <c r="C413" s="453"/>
      <c r="D413" s="453"/>
      <c r="E413" s="453"/>
    </row>
    <row r="414" spans="3:5" ht="15">
      <c r="C414" s="453"/>
      <c r="D414" s="453"/>
      <c r="E414" s="453"/>
    </row>
    <row r="415" spans="3:5" ht="15">
      <c r="C415" s="453"/>
      <c r="D415" s="453"/>
      <c r="E415" s="453"/>
    </row>
    <row r="416" spans="3:5" ht="15">
      <c r="C416" s="453"/>
      <c r="D416" s="453"/>
      <c r="E416" s="453"/>
    </row>
    <row r="417" spans="3:5" ht="15">
      <c r="C417" s="453"/>
      <c r="D417" s="453"/>
      <c r="E417" s="453"/>
    </row>
    <row r="418" spans="3:5" ht="15">
      <c r="C418" s="453"/>
      <c r="D418" s="453"/>
      <c r="E418" s="453"/>
    </row>
    <row r="419" spans="3:5" ht="15">
      <c r="C419" s="453"/>
      <c r="D419" s="453"/>
      <c r="E419" s="453"/>
    </row>
    <row r="420" spans="3:5" ht="15">
      <c r="C420" s="453"/>
      <c r="D420" s="453"/>
      <c r="E420" s="453"/>
    </row>
    <row r="421" spans="3:5" ht="15">
      <c r="C421" s="453"/>
      <c r="D421" s="453"/>
      <c r="E421" s="453"/>
    </row>
    <row r="422" spans="3:5" ht="15">
      <c r="C422" s="453"/>
      <c r="D422" s="453"/>
      <c r="E422" s="453"/>
    </row>
    <row r="423" spans="3:5" ht="15">
      <c r="C423" s="453"/>
      <c r="D423" s="453"/>
      <c r="E423" s="453"/>
    </row>
    <row r="424" spans="3:5" ht="15">
      <c r="C424" s="453"/>
      <c r="D424" s="453"/>
      <c r="E424" s="453"/>
    </row>
    <row r="425" spans="3:5" ht="15">
      <c r="C425" s="453"/>
      <c r="D425" s="453"/>
      <c r="E425" s="453"/>
    </row>
    <row r="426" spans="3:5" ht="15">
      <c r="C426" s="453"/>
      <c r="D426" s="453"/>
      <c r="E426" s="453"/>
    </row>
    <row r="427" spans="3:5" ht="15">
      <c r="C427" s="453"/>
      <c r="D427" s="453"/>
      <c r="E427" s="453"/>
    </row>
    <row r="428" spans="3:5" ht="15">
      <c r="C428" s="453"/>
      <c r="D428" s="453"/>
      <c r="E428" s="453"/>
    </row>
    <row r="429" spans="3:5" ht="15">
      <c r="C429" s="453"/>
      <c r="D429" s="453"/>
      <c r="E429" s="453"/>
    </row>
    <row r="430" spans="3:5" ht="15">
      <c r="C430" s="453"/>
      <c r="D430" s="453"/>
      <c r="E430" s="453"/>
    </row>
    <row r="431" spans="3:5" ht="15">
      <c r="C431" s="453"/>
      <c r="D431" s="453"/>
      <c r="E431" s="453"/>
    </row>
    <row r="432" spans="3:5" ht="15">
      <c r="C432" s="453"/>
      <c r="D432" s="453"/>
      <c r="E432" s="453"/>
    </row>
    <row r="433" spans="3:5" ht="15">
      <c r="C433" s="453"/>
      <c r="D433" s="453"/>
      <c r="E433" s="453"/>
    </row>
    <row r="434" spans="3:5" ht="15">
      <c r="C434" s="453"/>
      <c r="D434" s="453"/>
      <c r="E434" s="453"/>
    </row>
    <row r="435" spans="3:5" ht="15">
      <c r="C435" s="453"/>
      <c r="D435" s="453"/>
      <c r="E435" s="453"/>
    </row>
    <row r="436" spans="3:5" ht="15">
      <c r="C436" s="453"/>
      <c r="D436" s="453"/>
      <c r="E436" s="453"/>
    </row>
    <row r="437" spans="3:5" ht="15">
      <c r="C437" s="453"/>
      <c r="D437" s="453"/>
      <c r="E437" s="453"/>
    </row>
    <row r="438" spans="3:5" ht="15">
      <c r="C438" s="453"/>
      <c r="D438" s="453"/>
      <c r="E438" s="453"/>
    </row>
    <row r="439" spans="3:5" ht="15">
      <c r="C439" s="453"/>
      <c r="D439" s="453"/>
      <c r="E439" s="453"/>
    </row>
    <row r="440" spans="3:5" ht="15">
      <c r="C440" s="453"/>
      <c r="D440" s="453"/>
      <c r="E440" s="453"/>
    </row>
    <row r="441" spans="3:5" ht="15">
      <c r="C441" s="453"/>
      <c r="D441" s="453"/>
      <c r="E441" s="453"/>
    </row>
    <row r="442" spans="3:5" ht="15">
      <c r="C442" s="453"/>
      <c r="D442" s="453"/>
      <c r="E442" s="453"/>
    </row>
    <row r="443" spans="3:5" ht="15">
      <c r="C443" s="453"/>
      <c r="D443" s="453"/>
      <c r="E443" s="453"/>
    </row>
    <row r="444" spans="3:5" ht="15">
      <c r="C444" s="453"/>
      <c r="D444" s="453"/>
      <c r="E444" s="453"/>
    </row>
    <row r="445" spans="3:5" ht="15">
      <c r="C445" s="453"/>
      <c r="D445" s="453"/>
      <c r="E445" s="453"/>
    </row>
    <row r="446" spans="3:5" ht="15">
      <c r="C446" s="453"/>
      <c r="D446" s="453"/>
      <c r="E446" s="453"/>
    </row>
    <row r="447" spans="3:5" ht="15">
      <c r="C447" s="453"/>
      <c r="D447" s="453"/>
      <c r="E447" s="453"/>
    </row>
    <row r="448" spans="3:5" ht="15">
      <c r="C448" s="453"/>
      <c r="D448" s="453"/>
      <c r="E448" s="453"/>
    </row>
    <row r="449" spans="3:5" ht="15">
      <c r="C449" s="453"/>
      <c r="D449" s="453"/>
      <c r="E449" s="453"/>
    </row>
    <row r="450" spans="3:5" ht="15">
      <c r="C450" s="453"/>
      <c r="D450" s="453"/>
      <c r="E450" s="453"/>
    </row>
    <row r="451" spans="3:5" ht="15">
      <c r="C451" s="453"/>
      <c r="D451" s="453"/>
      <c r="E451" s="453"/>
    </row>
    <row r="452" spans="3:5" ht="15">
      <c r="C452" s="453"/>
      <c r="D452" s="453"/>
      <c r="E452" s="453"/>
    </row>
    <row r="453" spans="3:5" ht="15">
      <c r="C453" s="453"/>
      <c r="D453" s="453"/>
      <c r="E453" s="453"/>
    </row>
    <row r="454" spans="3:5" ht="15">
      <c r="C454" s="453"/>
      <c r="D454" s="453"/>
      <c r="E454" s="453"/>
    </row>
    <row r="455" spans="3:5" ht="15">
      <c r="C455" s="453"/>
      <c r="D455" s="453"/>
      <c r="E455" s="453"/>
    </row>
    <row r="456" spans="3:5" ht="15">
      <c r="C456" s="453"/>
      <c r="D456" s="453"/>
      <c r="E456" s="453"/>
    </row>
    <row r="457" spans="3:5" ht="15">
      <c r="C457" s="453"/>
      <c r="D457" s="453"/>
      <c r="E457" s="453"/>
    </row>
    <row r="458" spans="3:5" ht="15">
      <c r="C458" s="453"/>
      <c r="D458" s="453"/>
      <c r="E458" s="453"/>
    </row>
    <row r="459" spans="3:5" ht="15">
      <c r="C459" s="453"/>
      <c r="D459" s="453"/>
      <c r="E459" s="453"/>
    </row>
    <row r="460" spans="3:5" ht="15">
      <c r="C460" s="453"/>
      <c r="D460" s="453"/>
      <c r="E460" s="453"/>
    </row>
    <row r="461" spans="3:5" ht="15">
      <c r="C461" s="453"/>
      <c r="D461" s="453"/>
      <c r="E461" s="453"/>
    </row>
    <row r="462" spans="3:5" ht="15">
      <c r="C462" s="453"/>
      <c r="D462" s="453"/>
      <c r="E462" s="453"/>
    </row>
    <row r="463" spans="3:5" ht="15">
      <c r="C463" s="453"/>
      <c r="D463" s="453"/>
      <c r="E463" s="453"/>
    </row>
    <row r="464" spans="3:5" ht="15">
      <c r="C464" s="453"/>
      <c r="D464" s="453"/>
      <c r="E464" s="453"/>
    </row>
    <row r="465" spans="3:5" ht="15">
      <c r="C465" s="453"/>
      <c r="D465" s="453"/>
      <c r="E465" s="453"/>
    </row>
    <row r="466" spans="3:5" ht="15">
      <c r="C466" s="453"/>
      <c r="D466" s="453"/>
      <c r="E466" s="453"/>
    </row>
    <row r="467" spans="3:5" ht="15">
      <c r="C467" s="453"/>
      <c r="D467" s="453"/>
      <c r="E467" s="453"/>
    </row>
    <row r="468" spans="3:5" ht="15">
      <c r="C468" s="453"/>
      <c r="D468" s="453"/>
      <c r="E468" s="453"/>
    </row>
    <row r="469" spans="3:5" ht="15">
      <c r="C469" s="453"/>
      <c r="D469" s="453"/>
      <c r="E469" s="453"/>
    </row>
    <row r="470" spans="3:5" ht="15">
      <c r="C470" s="453"/>
      <c r="D470" s="453"/>
      <c r="E470" s="453"/>
    </row>
    <row r="471" spans="3:5" ht="15">
      <c r="C471" s="453"/>
      <c r="D471" s="453"/>
      <c r="E471" s="453"/>
    </row>
    <row r="472" spans="3:5" ht="15">
      <c r="C472" s="453"/>
      <c r="D472" s="453"/>
      <c r="E472" s="453"/>
    </row>
    <row r="473" spans="3:5" ht="15">
      <c r="C473" s="453"/>
      <c r="D473" s="453"/>
      <c r="E473" s="453"/>
    </row>
    <row r="474" spans="3:5" ht="15">
      <c r="C474" s="453"/>
      <c r="D474" s="453"/>
      <c r="E474" s="453"/>
    </row>
    <row r="475" spans="3:5" ht="15">
      <c r="C475" s="453"/>
      <c r="D475" s="453"/>
      <c r="E475" s="453"/>
    </row>
    <row r="476" spans="3:5" ht="15">
      <c r="C476" s="453"/>
      <c r="D476" s="453"/>
      <c r="E476" s="453"/>
    </row>
    <row r="477" spans="3:5" ht="15">
      <c r="C477" s="453"/>
      <c r="D477" s="453"/>
      <c r="E477" s="453"/>
    </row>
    <row r="478" spans="3:5" ht="15">
      <c r="C478" s="453"/>
      <c r="D478" s="453"/>
      <c r="E478" s="453"/>
    </row>
    <row r="479" spans="3:5" ht="15">
      <c r="C479" s="453"/>
      <c r="D479" s="453"/>
      <c r="E479" s="453"/>
    </row>
    <row r="480" spans="3:5" ht="15">
      <c r="C480" s="453"/>
      <c r="D480" s="453"/>
      <c r="E480" s="453"/>
    </row>
    <row r="481" spans="3:5" ht="15">
      <c r="C481" s="453"/>
      <c r="D481" s="453"/>
      <c r="E481" s="453"/>
    </row>
    <row r="482" spans="3:5" ht="15">
      <c r="C482" s="453"/>
      <c r="D482" s="453"/>
      <c r="E482" s="453"/>
    </row>
    <row r="483" spans="3:5" ht="15">
      <c r="C483" s="453"/>
      <c r="D483" s="453"/>
      <c r="E483" s="453"/>
    </row>
    <row r="484" spans="3:5" ht="15">
      <c r="C484" s="453"/>
      <c r="D484" s="453"/>
      <c r="E484" s="453"/>
    </row>
    <row r="485" spans="3:5" ht="15">
      <c r="C485" s="453"/>
      <c r="D485" s="453"/>
      <c r="E485" s="453"/>
    </row>
    <row r="486" spans="3:5" ht="15">
      <c r="C486" s="453"/>
      <c r="D486" s="453"/>
      <c r="E486" s="453"/>
    </row>
    <row r="487" spans="3:5" ht="15">
      <c r="C487" s="453"/>
      <c r="D487" s="453"/>
      <c r="E487" s="453"/>
    </row>
    <row r="488" spans="3:5" ht="15">
      <c r="C488" s="453"/>
      <c r="D488" s="453"/>
      <c r="E488" s="453"/>
    </row>
    <row r="489" spans="3:5" ht="15">
      <c r="C489" s="453"/>
      <c r="D489" s="453"/>
      <c r="E489" s="453"/>
    </row>
    <row r="490" spans="3:5" ht="15">
      <c r="C490" s="453"/>
      <c r="D490" s="453"/>
      <c r="E490" s="453"/>
    </row>
    <row r="491" spans="3:5" ht="15">
      <c r="C491" s="453"/>
      <c r="D491" s="453"/>
      <c r="E491" s="453"/>
    </row>
    <row r="492" spans="3:5" ht="15">
      <c r="C492" s="453"/>
      <c r="D492" s="453"/>
      <c r="E492" s="453"/>
    </row>
    <row r="493" spans="3:5" ht="15">
      <c r="C493" s="453"/>
      <c r="D493" s="453"/>
      <c r="E493" s="453"/>
    </row>
    <row r="494" spans="3:5" ht="15">
      <c r="C494" s="453"/>
      <c r="D494" s="453"/>
      <c r="E494" s="453"/>
    </row>
    <row r="495" spans="3:5" ht="15">
      <c r="C495" s="453"/>
      <c r="D495" s="453"/>
      <c r="E495" s="453"/>
    </row>
    <row r="496" spans="3:5" ht="15">
      <c r="C496" s="453"/>
      <c r="D496" s="453"/>
      <c r="E496" s="453"/>
    </row>
    <row r="497" spans="3:5" ht="15">
      <c r="C497" s="453"/>
      <c r="D497" s="453"/>
      <c r="E497" s="453"/>
    </row>
    <row r="498" spans="3:5" ht="15">
      <c r="C498" s="453"/>
      <c r="D498" s="453"/>
      <c r="E498" s="453"/>
    </row>
    <row r="499" spans="3:5" ht="15">
      <c r="C499" s="453"/>
      <c r="D499" s="453"/>
      <c r="E499" s="453"/>
    </row>
    <row r="500" spans="3:5" ht="15">
      <c r="C500" s="453"/>
      <c r="D500" s="453"/>
      <c r="E500" s="453"/>
    </row>
    <row r="501" spans="3:5" ht="15">
      <c r="C501" s="453"/>
      <c r="D501" s="453"/>
      <c r="E501" s="453"/>
    </row>
    <row r="502" spans="3:5" ht="15">
      <c r="C502" s="453"/>
      <c r="D502" s="453"/>
      <c r="E502" s="453"/>
    </row>
    <row r="503" spans="3:5" ht="15">
      <c r="C503" s="453"/>
      <c r="D503" s="453"/>
      <c r="E503" s="453"/>
    </row>
    <row r="504" spans="3:5" ht="15">
      <c r="C504" s="453"/>
      <c r="D504" s="453"/>
      <c r="E504" s="453"/>
    </row>
    <row r="505" spans="3:5" ht="15">
      <c r="C505" s="453"/>
      <c r="D505" s="453"/>
      <c r="E505" s="453"/>
    </row>
    <row r="506" spans="3:5" ht="15">
      <c r="C506" s="453"/>
      <c r="D506" s="453"/>
      <c r="E506" s="453"/>
    </row>
    <row r="507" spans="3:5" ht="15">
      <c r="C507" s="453"/>
      <c r="D507" s="453"/>
      <c r="E507" s="453"/>
    </row>
    <row r="508" spans="3:5" ht="15">
      <c r="C508" s="453"/>
      <c r="D508" s="453"/>
      <c r="E508" s="453"/>
    </row>
    <row r="509" spans="3:5" ht="15">
      <c r="C509" s="453"/>
      <c r="D509" s="453"/>
      <c r="E509" s="453"/>
    </row>
    <row r="510" spans="3:5" ht="15">
      <c r="C510" s="453"/>
      <c r="D510" s="453"/>
      <c r="E510" s="453"/>
    </row>
    <row r="511" spans="3:5" ht="15">
      <c r="C511" s="453"/>
      <c r="D511" s="453"/>
      <c r="E511" s="453"/>
    </row>
    <row r="512" spans="3:5" ht="15">
      <c r="C512" s="453"/>
      <c r="D512" s="453"/>
      <c r="E512" s="453"/>
    </row>
    <row r="513" spans="3:5" ht="15">
      <c r="C513" s="453"/>
      <c r="D513" s="453"/>
      <c r="E513" s="453"/>
    </row>
    <row r="514" spans="3:5" ht="15">
      <c r="C514" s="453"/>
      <c r="D514" s="453"/>
      <c r="E514" s="453"/>
    </row>
    <row r="515" spans="3:5" ht="15">
      <c r="C515" s="453"/>
      <c r="D515" s="453"/>
      <c r="E515" s="453"/>
    </row>
    <row r="516" spans="3:5" ht="15">
      <c r="C516" s="453"/>
      <c r="D516" s="453"/>
      <c r="E516" s="453"/>
    </row>
    <row r="517" spans="3:5" ht="15">
      <c r="C517" s="453"/>
      <c r="D517" s="453"/>
      <c r="E517" s="453"/>
    </row>
    <row r="518" spans="3:5" ht="15">
      <c r="C518" s="453"/>
      <c r="D518" s="453"/>
      <c r="E518" s="453"/>
    </row>
    <row r="519" spans="3:5" ht="15">
      <c r="C519" s="453"/>
      <c r="D519" s="453"/>
      <c r="E519" s="453"/>
    </row>
    <row r="520" spans="3:5" ht="15">
      <c r="C520" s="453"/>
      <c r="D520" s="453"/>
      <c r="E520" s="453"/>
    </row>
    <row r="521" spans="3:5" ht="15">
      <c r="C521" s="453"/>
      <c r="D521" s="453"/>
      <c r="E521" s="453"/>
    </row>
    <row r="522" spans="3:5" ht="15">
      <c r="C522" s="453"/>
      <c r="D522" s="453"/>
      <c r="E522" s="453"/>
    </row>
    <row r="523" spans="3:5" ht="15">
      <c r="C523" s="453"/>
      <c r="D523" s="453"/>
      <c r="E523" s="453"/>
    </row>
    <row r="524" spans="3:5" ht="15">
      <c r="C524" s="453"/>
      <c r="D524" s="453"/>
      <c r="E524" s="453"/>
    </row>
    <row r="525" spans="3:5" ht="15">
      <c r="C525" s="453"/>
      <c r="D525" s="453"/>
      <c r="E525" s="453"/>
    </row>
    <row r="526" spans="3:5" ht="15">
      <c r="C526" s="453"/>
      <c r="D526" s="453"/>
      <c r="E526" s="453"/>
    </row>
    <row r="527" spans="3:5" ht="15">
      <c r="C527" s="453"/>
      <c r="D527" s="453"/>
      <c r="E527" s="453"/>
    </row>
    <row r="528" spans="3:5" ht="15">
      <c r="C528" s="453"/>
      <c r="D528" s="453"/>
      <c r="E528" s="453"/>
    </row>
    <row r="529" spans="3:5" ht="15">
      <c r="C529" s="453"/>
      <c r="D529" s="453"/>
      <c r="E529" s="453"/>
    </row>
    <row r="530" spans="3:5" ht="15">
      <c r="C530" s="453"/>
      <c r="D530" s="453"/>
      <c r="E530" s="453"/>
    </row>
    <row r="531" spans="3:5" ht="15">
      <c r="C531" s="453"/>
      <c r="D531" s="453"/>
      <c r="E531" s="453"/>
    </row>
    <row r="532" spans="3:5" ht="15">
      <c r="C532" s="453"/>
      <c r="D532" s="453"/>
      <c r="E532" s="453"/>
    </row>
    <row r="533" spans="3:5" ht="15">
      <c r="C533" s="453"/>
      <c r="D533" s="453"/>
      <c r="E533" s="453"/>
    </row>
    <row r="534" spans="3:5" ht="15">
      <c r="C534" s="453"/>
      <c r="D534" s="453"/>
      <c r="E534" s="453"/>
    </row>
    <row r="535" spans="3:5" ht="15">
      <c r="C535" s="453"/>
      <c r="D535" s="453"/>
      <c r="E535" s="453"/>
    </row>
    <row r="536" spans="3:5" ht="15">
      <c r="C536" s="453"/>
      <c r="D536" s="453"/>
      <c r="E536" s="453"/>
    </row>
    <row r="537" spans="3:5" ht="15">
      <c r="C537" s="453"/>
      <c r="D537" s="453"/>
      <c r="E537" s="453"/>
    </row>
    <row r="538" spans="3:5" ht="15">
      <c r="C538" s="453"/>
      <c r="D538" s="453"/>
      <c r="E538" s="453"/>
    </row>
    <row r="539" spans="3:5" ht="15">
      <c r="C539" s="453"/>
      <c r="D539" s="453"/>
      <c r="E539" s="453"/>
    </row>
    <row r="540" spans="3:5" ht="15">
      <c r="C540" s="453"/>
      <c r="D540" s="453"/>
      <c r="E540" s="453"/>
    </row>
    <row r="541" spans="3:5" ht="15">
      <c r="C541" s="453"/>
      <c r="D541" s="453"/>
      <c r="E541" s="453"/>
    </row>
    <row r="542" spans="3:5" ht="15">
      <c r="C542" s="453"/>
      <c r="D542" s="453"/>
      <c r="E542" s="453"/>
    </row>
    <row r="543" spans="3:5" ht="15">
      <c r="C543" s="453"/>
      <c r="D543" s="453"/>
      <c r="E543" s="453"/>
    </row>
    <row r="544" spans="3:5" ht="15">
      <c r="C544" s="453"/>
      <c r="D544" s="453"/>
      <c r="E544" s="453"/>
    </row>
    <row r="545" spans="3:5" ht="15">
      <c r="C545" s="453"/>
      <c r="D545" s="453"/>
      <c r="E545" s="453"/>
    </row>
    <row r="546" spans="3:5" ht="15">
      <c r="C546" s="453"/>
      <c r="D546" s="453"/>
      <c r="E546" s="453"/>
    </row>
    <row r="547" spans="3:5" ht="15">
      <c r="C547" s="453"/>
      <c r="D547" s="453"/>
      <c r="E547" s="453"/>
    </row>
    <row r="548" spans="3:5" ht="15">
      <c r="C548" s="453"/>
      <c r="D548" s="453"/>
      <c r="E548" s="453"/>
    </row>
    <row r="549" spans="3:5" ht="15">
      <c r="C549" s="453"/>
      <c r="D549" s="453"/>
      <c r="E549" s="453"/>
    </row>
    <row r="550" spans="3:5" ht="15">
      <c r="C550" s="453"/>
      <c r="D550" s="453"/>
      <c r="E550" s="453"/>
    </row>
    <row r="551" spans="3:5" ht="15">
      <c r="C551" s="453"/>
      <c r="D551" s="453"/>
      <c r="E551" s="453"/>
    </row>
    <row r="552" spans="3:5" ht="15">
      <c r="C552" s="453"/>
      <c r="D552" s="453"/>
      <c r="E552" s="453"/>
    </row>
    <row r="553" spans="3:5" ht="15">
      <c r="C553" s="453"/>
      <c r="D553" s="453"/>
      <c r="E553" s="453"/>
    </row>
    <row r="554" spans="3:5" ht="15">
      <c r="C554" s="453"/>
      <c r="D554" s="453"/>
      <c r="E554" s="453"/>
    </row>
    <row r="555" spans="3:5" ht="15">
      <c r="C555" s="453"/>
      <c r="D555" s="453"/>
      <c r="E555" s="453"/>
    </row>
    <row r="556" spans="3:5" ht="15">
      <c r="C556" s="453"/>
      <c r="D556" s="453"/>
      <c r="E556" s="453"/>
    </row>
    <row r="557" spans="3:5" ht="15">
      <c r="C557" s="453"/>
      <c r="D557" s="453"/>
      <c r="E557" s="453"/>
    </row>
    <row r="558" spans="3:5" ht="15">
      <c r="C558" s="453"/>
      <c r="D558" s="453"/>
      <c r="E558" s="453"/>
    </row>
    <row r="559" spans="3:5" ht="15">
      <c r="C559" s="453"/>
      <c r="D559" s="453"/>
      <c r="E559" s="453"/>
    </row>
    <row r="560" spans="3:5" ht="15">
      <c r="C560" s="453"/>
      <c r="D560" s="453"/>
      <c r="E560" s="453"/>
    </row>
    <row r="561" spans="3:5" ht="15">
      <c r="C561" s="453"/>
      <c r="D561" s="453"/>
      <c r="E561" s="453"/>
    </row>
    <row r="562" spans="3:5" ht="15">
      <c r="C562" s="453"/>
      <c r="D562" s="453"/>
      <c r="E562" s="453"/>
    </row>
    <row r="563" spans="3:5" ht="15">
      <c r="C563" s="453"/>
      <c r="D563" s="453"/>
      <c r="E563" s="453"/>
    </row>
    <row r="564" spans="3:5" ht="15">
      <c r="C564" s="453"/>
      <c r="D564" s="453"/>
      <c r="E564" s="453"/>
    </row>
    <row r="565" spans="3:5" ht="15">
      <c r="C565" s="453"/>
      <c r="D565" s="453"/>
      <c r="E565" s="453"/>
    </row>
    <row r="566" spans="3:5" ht="15">
      <c r="C566" s="453"/>
      <c r="D566" s="453"/>
      <c r="E566" s="453"/>
    </row>
    <row r="567" spans="3:5" ht="15">
      <c r="C567" s="453"/>
      <c r="D567" s="453"/>
      <c r="E567" s="453"/>
    </row>
    <row r="568" spans="3:5" ht="15">
      <c r="C568" s="453"/>
      <c r="D568" s="453"/>
      <c r="E568" s="453"/>
    </row>
    <row r="569" spans="3:5" ht="15">
      <c r="C569" s="453"/>
      <c r="D569" s="453"/>
      <c r="E569" s="453"/>
    </row>
    <row r="570" spans="3:5" ht="15">
      <c r="C570" s="453"/>
      <c r="D570" s="453"/>
      <c r="E570" s="453"/>
    </row>
    <row r="571" spans="3:5" ht="15">
      <c r="C571" s="453"/>
      <c r="D571" s="453"/>
      <c r="E571" s="453"/>
    </row>
    <row r="572" spans="3:5" ht="15">
      <c r="C572" s="453"/>
      <c r="D572" s="453"/>
      <c r="E572" s="453"/>
    </row>
    <row r="573" spans="3:5" ht="15">
      <c r="C573" s="453"/>
      <c r="D573" s="453"/>
      <c r="E573" s="453"/>
    </row>
    <row r="574" spans="3:5" ht="15">
      <c r="C574" s="453"/>
      <c r="D574" s="453"/>
      <c r="E574" s="453"/>
    </row>
    <row r="575" spans="3:5" ht="15">
      <c r="C575" s="453"/>
      <c r="D575" s="453"/>
      <c r="E575" s="453"/>
    </row>
    <row r="576" spans="3:5" ht="15">
      <c r="C576" s="453"/>
      <c r="D576" s="453"/>
      <c r="E576" s="453"/>
    </row>
    <row r="577" spans="3:5" ht="15">
      <c r="C577" s="453"/>
      <c r="D577" s="453"/>
      <c r="E577" s="453"/>
    </row>
    <row r="578" spans="3:5" ht="15">
      <c r="C578" s="453"/>
      <c r="D578" s="453"/>
      <c r="E578" s="453"/>
    </row>
    <row r="579" spans="3:5" ht="15">
      <c r="C579" s="453"/>
      <c r="D579" s="453"/>
      <c r="E579" s="453"/>
    </row>
    <row r="580" spans="3:5" ht="15">
      <c r="C580" s="453"/>
      <c r="D580" s="453"/>
      <c r="E580" s="453"/>
    </row>
    <row r="581" spans="3:5" ht="15">
      <c r="C581" s="453"/>
      <c r="D581" s="453"/>
      <c r="E581" s="453"/>
    </row>
    <row r="582" spans="3:5" ht="15">
      <c r="C582" s="453"/>
      <c r="D582" s="453"/>
      <c r="E582" s="453"/>
    </row>
    <row r="583" spans="3:5" ht="15">
      <c r="C583" s="453"/>
      <c r="D583" s="453"/>
      <c r="E583" s="453"/>
    </row>
    <row r="584" spans="3:5" ht="15">
      <c r="C584" s="453"/>
      <c r="D584" s="453"/>
      <c r="E584" s="453"/>
    </row>
    <row r="585" spans="3:5" ht="15">
      <c r="C585" s="453"/>
      <c r="D585" s="453"/>
      <c r="E585" s="453"/>
    </row>
    <row r="586" spans="3:5" ht="15">
      <c r="C586" s="453"/>
      <c r="D586" s="453"/>
      <c r="E586" s="453"/>
    </row>
    <row r="587" spans="3:5" ht="15">
      <c r="C587" s="453"/>
      <c r="D587" s="453"/>
      <c r="E587" s="453"/>
    </row>
    <row r="588" spans="3:5" ht="15">
      <c r="C588" s="453"/>
      <c r="D588" s="453"/>
      <c r="E588" s="453"/>
    </row>
    <row r="589" spans="3:5" ht="15">
      <c r="C589" s="453"/>
      <c r="D589" s="453"/>
      <c r="E589" s="453"/>
    </row>
    <row r="590" spans="3:5" ht="15">
      <c r="C590" s="453"/>
      <c r="D590" s="453"/>
      <c r="E590" s="453"/>
    </row>
    <row r="591" spans="3:5" ht="15">
      <c r="C591" s="453"/>
      <c r="D591" s="453"/>
      <c r="E591" s="453"/>
    </row>
    <row r="592" spans="3:5" ht="15">
      <c r="C592" s="453"/>
      <c r="D592" s="453"/>
      <c r="E592" s="453"/>
    </row>
    <row r="593" spans="3:5" ht="15">
      <c r="C593" s="453"/>
      <c r="D593" s="453"/>
      <c r="E593" s="453"/>
    </row>
    <row r="594" spans="3:5" ht="15">
      <c r="C594" s="453"/>
      <c r="D594" s="453"/>
      <c r="E594" s="453"/>
    </row>
    <row r="595" spans="3:5" ht="15">
      <c r="C595" s="453"/>
      <c r="D595" s="453"/>
      <c r="E595" s="453"/>
    </row>
    <row r="596" spans="3:5" ht="15">
      <c r="C596" s="453"/>
      <c r="D596" s="453"/>
      <c r="E596" s="453"/>
    </row>
    <row r="597" spans="3:5" ht="15">
      <c r="C597" s="453"/>
      <c r="D597" s="453"/>
      <c r="E597" s="453"/>
    </row>
    <row r="598" spans="3:5" ht="15">
      <c r="C598" s="453"/>
      <c r="D598" s="453"/>
      <c r="E598" s="453"/>
    </row>
    <row r="599" spans="3:5" ht="15">
      <c r="C599" s="453"/>
      <c r="D599" s="453"/>
      <c r="E599" s="453"/>
    </row>
    <row r="600" spans="3:5" ht="15">
      <c r="C600" s="453"/>
      <c r="D600" s="453"/>
      <c r="E600" s="453"/>
    </row>
    <row r="601" spans="3:5" ht="15">
      <c r="C601" s="453"/>
      <c r="D601" s="453"/>
      <c r="E601" s="453"/>
    </row>
    <row r="602" spans="3:5" ht="15">
      <c r="C602" s="453"/>
      <c r="D602" s="453"/>
      <c r="E602" s="453"/>
    </row>
    <row r="603" spans="3:5" ht="15">
      <c r="C603" s="453"/>
      <c r="D603" s="453"/>
      <c r="E603" s="453"/>
    </row>
    <row r="604" spans="3:5" ht="15">
      <c r="C604" s="453"/>
      <c r="D604" s="453"/>
      <c r="E604" s="453"/>
    </row>
    <row r="605" spans="3:5" ht="15">
      <c r="C605" s="453"/>
      <c r="D605" s="453"/>
      <c r="E605" s="453"/>
    </row>
    <row r="606" spans="3:5" ht="15">
      <c r="C606" s="453"/>
      <c r="D606" s="453"/>
      <c r="E606" s="453"/>
    </row>
    <row r="607" spans="3:5" ht="15">
      <c r="C607" s="453"/>
      <c r="D607" s="453"/>
      <c r="E607" s="453"/>
    </row>
    <row r="608" spans="3:5" ht="15">
      <c r="C608" s="453"/>
      <c r="D608" s="453"/>
      <c r="E608" s="453"/>
    </row>
    <row r="609" spans="3:5" ht="15">
      <c r="C609" s="453"/>
      <c r="D609" s="453"/>
      <c r="E609" s="453"/>
    </row>
    <row r="610" spans="3:5" ht="15">
      <c r="C610" s="453"/>
      <c r="D610" s="453"/>
      <c r="E610" s="453"/>
    </row>
    <row r="611" spans="3:5" ht="15">
      <c r="C611" s="453"/>
      <c r="D611" s="453"/>
      <c r="E611" s="453"/>
    </row>
    <row r="612" spans="3:5" ht="15">
      <c r="C612" s="453"/>
      <c r="D612" s="453"/>
      <c r="E612" s="453"/>
    </row>
    <row r="613" spans="3:5" ht="15">
      <c r="C613" s="453"/>
      <c r="D613" s="453"/>
      <c r="E613" s="453"/>
    </row>
    <row r="614" spans="3:5" ht="15">
      <c r="C614" s="453"/>
      <c r="D614" s="453"/>
      <c r="E614" s="453"/>
    </row>
    <row r="615" spans="3:5" ht="15">
      <c r="C615" s="453"/>
      <c r="D615" s="453"/>
      <c r="E615" s="453"/>
    </row>
    <row r="616" spans="3:5" ht="15">
      <c r="C616" s="453"/>
      <c r="D616" s="453"/>
      <c r="E616" s="453"/>
    </row>
    <row r="617" spans="3:5" ht="15">
      <c r="C617" s="453"/>
      <c r="D617" s="453"/>
      <c r="E617" s="453"/>
    </row>
    <row r="618" spans="3:5" ht="15">
      <c r="C618" s="453"/>
      <c r="D618" s="453"/>
      <c r="E618" s="453"/>
    </row>
    <row r="619" spans="3:5" ht="15">
      <c r="C619" s="453"/>
      <c r="D619" s="453"/>
      <c r="E619" s="453"/>
    </row>
    <row r="620" spans="3:5" ht="15">
      <c r="C620" s="453"/>
      <c r="D620" s="453"/>
      <c r="E620" s="453"/>
    </row>
    <row r="621" spans="3:5" ht="15">
      <c r="C621" s="453"/>
      <c r="D621" s="453"/>
      <c r="E621" s="453"/>
    </row>
    <row r="622" spans="3:5" ht="15">
      <c r="C622" s="453"/>
      <c r="D622" s="453"/>
      <c r="E622" s="453"/>
    </row>
    <row r="623" spans="3:5" ht="15">
      <c r="C623" s="453"/>
      <c r="D623" s="453"/>
      <c r="E623" s="453"/>
    </row>
    <row r="624" spans="3:5" ht="15">
      <c r="C624" s="453"/>
      <c r="D624" s="453"/>
      <c r="E624" s="453"/>
    </row>
    <row r="625" spans="3:5" ht="15">
      <c r="C625" s="453"/>
      <c r="D625" s="453"/>
      <c r="E625" s="453"/>
    </row>
    <row r="626" spans="3:5" ht="15">
      <c r="C626" s="453"/>
      <c r="D626" s="453"/>
      <c r="E626" s="453"/>
    </row>
    <row r="627" spans="3:5" ht="15">
      <c r="C627" s="453"/>
      <c r="D627" s="453"/>
      <c r="E627" s="453"/>
    </row>
    <row r="628" spans="3:5" ht="15">
      <c r="C628" s="453"/>
      <c r="D628" s="453"/>
      <c r="E628" s="453"/>
    </row>
    <row r="629" spans="3:5" ht="15">
      <c r="C629" s="453"/>
      <c r="D629" s="453"/>
      <c r="E629" s="453"/>
    </row>
    <row r="630" spans="3:5" ht="15">
      <c r="C630" s="453"/>
      <c r="D630" s="453"/>
      <c r="E630" s="453"/>
    </row>
    <row r="631" spans="3:5" ht="15">
      <c r="C631" s="453"/>
      <c r="D631" s="453"/>
      <c r="E631" s="453"/>
    </row>
    <row r="632" spans="3:5" ht="15">
      <c r="C632" s="453"/>
      <c r="D632" s="453"/>
      <c r="E632" s="453"/>
    </row>
    <row r="633" spans="3:5" ht="15">
      <c r="C633" s="453"/>
      <c r="D633" s="453"/>
      <c r="E633" s="453"/>
    </row>
    <row r="634" spans="3:5" ht="15">
      <c r="C634" s="453"/>
      <c r="D634" s="453"/>
      <c r="E634" s="453"/>
    </row>
    <row r="635" spans="3:5" ht="15">
      <c r="C635" s="453"/>
      <c r="D635" s="453"/>
      <c r="E635" s="453"/>
    </row>
    <row r="636" spans="3:5" ht="15">
      <c r="C636" s="453"/>
      <c r="D636" s="453"/>
      <c r="E636" s="453"/>
    </row>
    <row r="637" spans="3:5" ht="15">
      <c r="C637" s="453"/>
      <c r="D637" s="453"/>
      <c r="E637" s="453"/>
    </row>
    <row r="638" spans="3:5" ht="15">
      <c r="C638" s="453"/>
      <c r="D638" s="453"/>
      <c r="E638" s="453"/>
    </row>
    <row r="639" spans="3:5" ht="15">
      <c r="C639" s="453"/>
      <c r="D639" s="453"/>
      <c r="E639" s="453"/>
    </row>
    <row r="640" spans="3:5" ht="15">
      <c r="C640" s="453"/>
      <c r="D640" s="453"/>
      <c r="E640" s="453"/>
    </row>
    <row r="641" spans="3:5" ht="15">
      <c r="C641" s="453"/>
      <c r="D641" s="453"/>
      <c r="E641" s="453"/>
    </row>
    <row r="642" spans="3:5" ht="15">
      <c r="C642" s="453"/>
      <c r="D642" s="453"/>
      <c r="E642" s="453"/>
    </row>
    <row r="643" spans="3:5" ht="15">
      <c r="C643" s="453"/>
      <c r="D643" s="453"/>
      <c r="E643" s="453"/>
    </row>
    <row r="644" spans="3:5" ht="15">
      <c r="C644" s="453"/>
      <c r="D644" s="453"/>
      <c r="E644" s="453"/>
    </row>
    <row r="645" spans="3:5" ht="15">
      <c r="C645" s="453"/>
      <c r="D645" s="453"/>
      <c r="E645" s="453"/>
    </row>
    <row r="646" spans="3:5" ht="15">
      <c r="C646" s="453"/>
      <c r="D646" s="453"/>
      <c r="E646" s="453"/>
    </row>
    <row r="647" spans="3:5" ht="15">
      <c r="C647" s="453"/>
      <c r="D647" s="453"/>
      <c r="E647" s="453"/>
    </row>
    <row r="648" spans="3:5" ht="15">
      <c r="C648" s="453"/>
      <c r="D648" s="453"/>
      <c r="E648" s="453"/>
    </row>
    <row r="649" spans="3:5" ht="15">
      <c r="C649" s="453"/>
      <c r="D649" s="453"/>
      <c r="E649" s="453"/>
    </row>
    <row r="650" spans="3:5" ht="15">
      <c r="C650" s="453"/>
      <c r="D650" s="453"/>
      <c r="E650" s="453"/>
    </row>
    <row r="651" spans="3:5" ht="15">
      <c r="C651" s="453"/>
      <c r="D651" s="453"/>
      <c r="E651" s="453"/>
    </row>
    <row r="652" spans="3:5" ht="15">
      <c r="C652" s="453"/>
      <c r="D652" s="453"/>
      <c r="E652" s="453"/>
    </row>
    <row r="653" spans="3:5" ht="15">
      <c r="C653" s="453"/>
      <c r="D653" s="453"/>
      <c r="E653" s="453"/>
    </row>
    <row r="654" spans="3:5" ht="15">
      <c r="C654" s="453"/>
      <c r="D654" s="453"/>
      <c r="E654" s="453"/>
    </row>
    <row r="655" spans="3:5" ht="15">
      <c r="C655" s="453"/>
      <c r="D655" s="453"/>
      <c r="E655" s="453"/>
    </row>
    <row r="656" spans="3:5" ht="15">
      <c r="C656" s="453"/>
      <c r="D656" s="453"/>
      <c r="E656" s="453"/>
    </row>
    <row r="657" spans="3:5" ht="15">
      <c r="C657" s="453"/>
      <c r="D657" s="453"/>
      <c r="E657" s="453"/>
    </row>
    <row r="658" spans="3:5" ht="15">
      <c r="C658" s="453"/>
      <c r="D658" s="453"/>
      <c r="E658" s="453"/>
    </row>
    <row r="659" spans="3:5" ht="15">
      <c r="C659" s="453"/>
      <c r="D659" s="453"/>
      <c r="E659" s="453"/>
    </row>
    <row r="660" spans="3:5" ht="15">
      <c r="C660" s="453"/>
      <c r="D660" s="453"/>
      <c r="E660" s="453"/>
    </row>
    <row r="661" spans="3:5" ht="15">
      <c r="C661" s="453"/>
      <c r="D661" s="453"/>
      <c r="E661" s="453"/>
    </row>
    <row r="662" spans="3:5" ht="15">
      <c r="C662" s="453"/>
      <c r="D662" s="453"/>
      <c r="E662" s="453"/>
    </row>
    <row r="663" spans="3:5" ht="15">
      <c r="C663" s="453"/>
      <c r="D663" s="453"/>
      <c r="E663" s="453"/>
    </row>
    <row r="664" spans="3:5" ht="15">
      <c r="C664" s="453"/>
      <c r="D664" s="453"/>
      <c r="E664" s="453"/>
    </row>
    <row r="665" spans="3:5" ht="15">
      <c r="C665" s="453"/>
      <c r="D665" s="453"/>
      <c r="E665" s="453"/>
    </row>
    <row r="666" spans="3:5" ht="15">
      <c r="C666" s="453"/>
      <c r="D666" s="453"/>
      <c r="E666" s="453"/>
    </row>
    <row r="667" spans="3:5" ht="15">
      <c r="C667" s="453"/>
      <c r="D667" s="453"/>
      <c r="E667" s="453"/>
    </row>
    <row r="668" spans="3:5" ht="15">
      <c r="C668" s="453"/>
      <c r="D668" s="453"/>
      <c r="E668" s="453"/>
    </row>
    <row r="669" spans="3:5" ht="15">
      <c r="C669" s="453"/>
      <c r="D669" s="453"/>
      <c r="E669" s="453"/>
    </row>
    <row r="670" spans="3:5" ht="15">
      <c r="C670" s="453"/>
      <c r="D670" s="453"/>
      <c r="E670" s="453"/>
    </row>
    <row r="671" spans="3:5" ht="15">
      <c r="C671" s="453"/>
      <c r="D671" s="453"/>
      <c r="E671" s="453"/>
    </row>
    <row r="672" spans="3:5" ht="15">
      <c r="C672" s="453"/>
      <c r="D672" s="453"/>
      <c r="E672" s="453"/>
    </row>
    <row r="673" spans="3:5" ht="15">
      <c r="C673" s="453"/>
      <c r="D673" s="453"/>
      <c r="E673" s="453"/>
    </row>
    <row r="674" spans="3:5" ht="15">
      <c r="C674" s="453"/>
      <c r="D674" s="453"/>
      <c r="E674" s="453"/>
    </row>
    <row r="675" spans="3:5" ht="15">
      <c r="C675" s="453"/>
      <c r="D675" s="453"/>
      <c r="E675" s="453"/>
    </row>
    <row r="676" spans="3:5" ht="15">
      <c r="C676" s="453"/>
      <c r="D676" s="453"/>
      <c r="E676" s="453"/>
    </row>
    <row r="677" spans="3:5" ht="15">
      <c r="C677" s="453"/>
      <c r="D677" s="453"/>
      <c r="E677" s="453"/>
    </row>
    <row r="678" spans="3:5" ht="15">
      <c r="C678" s="453"/>
      <c r="D678" s="453"/>
      <c r="E678" s="453"/>
    </row>
    <row r="679" spans="3:5" ht="15">
      <c r="C679" s="453"/>
      <c r="D679" s="453"/>
      <c r="E679" s="453"/>
    </row>
    <row r="680" spans="3:5" ht="15">
      <c r="C680" s="453"/>
      <c r="D680" s="453"/>
      <c r="E680" s="453"/>
    </row>
    <row r="681" spans="3:5" ht="15">
      <c r="C681" s="453"/>
      <c r="D681" s="453"/>
      <c r="E681" s="453"/>
    </row>
    <row r="682" spans="3:5" ht="15">
      <c r="C682" s="453"/>
      <c r="D682" s="453"/>
      <c r="E682" s="453"/>
    </row>
    <row r="683" spans="3:5" ht="15">
      <c r="C683" s="453"/>
      <c r="D683" s="453"/>
      <c r="E683" s="453"/>
    </row>
    <row r="684" spans="3:5" ht="15">
      <c r="C684" s="453"/>
      <c r="D684" s="453"/>
      <c r="E684" s="453"/>
    </row>
    <row r="685" spans="3:5" ht="15">
      <c r="C685" s="453"/>
      <c r="D685" s="453"/>
      <c r="E685" s="453"/>
    </row>
    <row r="686" spans="3:5" ht="15">
      <c r="C686" s="453"/>
      <c r="D686" s="453"/>
      <c r="E686" s="453"/>
    </row>
    <row r="687" spans="3:5" ht="15">
      <c r="C687" s="453"/>
      <c r="D687" s="453"/>
      <c r="E687" s="453"/>
    </row>
    <row r="688" spans="3:5" ht="15">
      <c r="C688" s="453"/>
      <c r="D688" s="453"/>
      <c r="E688" s="453"/>
    </row>
    <row r="689" spans="3:5" ht="15">
      <c r="C689" s="453"/>
      <c r="D689" s="453"/>
      <c r="E689" s="453"/>
    </row>
    <row r="690" spans="3:5" ht="15">
      <c r="C690" s="453"/>
      <c r="D690" s="453"/>
      <c r="E690" s="453"/>
    </row>
    <row r="691" spans="3:5" ht="15">
      <c r="C691" s="453"/>
      <c r="D691" s="453"/>
      <c r="E691" s="453"/>
    </row>
    <row r="692" spans="3:5" ht="15">
      <c r="C692" s="453"/>
      <c r="D692" s="453"/>
      <c r="E692" s="453"/>
    </row>
    <row r="693" spans="3:5" ht="15">
      <c r="C693" s="453"/>
      <c r="D693" s="453"/>
      <c r="E693" s="453"/>
    </row>
    <row r="694" spans="3:5" ht="15">
      <c r="C694" s="453"/>
      <c r="D694" s="453"/>
      <c r="E694" s="453"/>
    </row>
    <row r="695" spans="3:5" ht="15">
      <c r="C695" s="453"/>
      <c r="D695" s="453"/>
      <c r="E695" s="453"/>
    </row>
    <row r="696" spans="3:5" ht="15">
      <c r="C696" s="453"/>
      <c r="D696" s="453"/>
      <c r="E696" s="453"/>
    </row>
    <row r="697" spans="3:5" ht="15">
      <c r="C697" s="453"/>
      <c r="D697" s="453"/>
      <c r="E697" s="453"/>
    </row>
    <row r="698" spans="3:5" ht="15">
      <c r="C698" s="453"/>
      <c r="D698" s="453"/>
      <c r="E698" s="453"/>
    </row>
    <row r="699" spans="3:5" ht="15">
      <c r="C699" s="453"/>
      <c r="D699" s="453"/>
      <c r="E699" s="453"/>
    </row>
    <row r="700" spans="3:5" ht="15">
      <c r="C700" s="453"/>
      <c r="D700" s="453"/>
      <c r="E700" s="453"/>
    </row>
    <row r="701" spans="3:5" ht="15">
      <c r="C701" s="453"/>
      <c r="D701" s="453"/>
      <c r="E701" s="453"/>
    </row>
    <row r="702" spans="3:5" ht="15">
      <c r="C702" s="453"/>
      <c r="D702" s="453"/>
      <c r="E702" s="453"/>
    </row>
    <row r="703" spans="3:5" ht="15">
      <c r="C703" s="453"/>
      <c r="D703" s="453"/>
      <c r="E703" s="453"/>
    </row>
    <row r="704" spans="3:5" ht="15">
      <c r="C704" s="453"/>
      <c r="D704" s="453"/>
      <c r="E704" s="453"/>
    </row>
    <row r="705" spans="3:5" ht="15">
      <c r="C705" s="453"/>
      <c r="D705" s="453"/>
      <c r="E705" s="453"/>
    </row>
    <row r="706" spans="3:5" ht="15">
      <c r="C706" s="453"/>
      <c r="D706" s="453"/>
      <c r="E706" s="453"/>
    </row>
    <row r="707" spans="3:5" ht="15">
      <c r="C707" s="453"/>
      <c r="D707" s="453"/>
      <c r="E707" s="453"/>
    </row>
    <row r="708" spans="3:5" ht="15">
      <c r="C708" s="453"/>
      <c r="D708" s="453"/>
      <c r="E708" s="453"/>
    </row>
    <row r="709" spans="3:5" ht="15">
      <c r="C709" s="453"/>
      <c r="D709" s="453"/>
      <c r="E709" s="453"/>
    </row>
    <row r="710" spans="3:5" ht="15">
      <c r="C710" s="453"/>
      <c r="D710" s="453"/>
      <c r="E710" s="453"/>
    </row>
    <row r="711" spans="3:5" ht="15">
      <c r="C711" s="453"/>
      <c r="D711" s="453"/>
      <c r="E711" s="453"/>
    </row>
    <row r="712" spans="3:5" ht="15">
      <c r="C712" s="453"/>
      <c r="D712" s="453"/>
      <c r="E712" s="453"/>
    </row>
    <row r="713" spans="3:5" ht="15">
      <c r="C713" s="453"/>
      <c r="D713" s="453"/>
      <c r="E713" s="453"/>
    </row>
    <row r="714" spans="3:5" ht="15">
      <c r="C714" s="453"/>
      <c r="D714" s="453"/>
      <c r="E714" s="453"/>
    </row>
    <row r="715" spans="3:5" ht="15">
      <c r="C715" s="453"/>
      <c r="D715" s="453"/>
      <c r="E715" s="453"/>
    </row>
    <row r="716" spans="3:5" ht="15">
      <c r="C716" s="453"/>
      <c r="D716" s="453"/>
      <c r="E716" s="453"/>
    </row>
    <row r="717" spans="3:5" ht="15">
      <c r="C717" s="453"/>
      <c r="D717" s="453"/>
      <c r="E717" s="453"/>
    </row>
    <row r="718" spans="3:5" ht="15">
      <c r="C718" s="453"/>
      <c r="D718" s="453"/>
      <c r="E718" s="453"/>
    </row>
    <row r="719" spans="3:5" ht="15">
      <c r="C719" s="453"/>
      <c r="D719" s="453"/>
      <c r="E719" s="453"/>
    </row>
    <row r="720" spans="3:5" ht="15">
      <c r="C720" s="453"/>
      <c r="D720" s="453"/>
      <c r="E720" s="453"/>
    </row>
    <row r="721" spans="3:5" ht="15">
      <c r="C721" s="453"/>
      <c r="D721" s="453"/>
      <c r="E721" s="453"/>
    </row>
    <row r="722" spans="3:5" ht="15">
      <c r="C722" s="453"/>
      <c r="D722" s="453"/>
      <c r="E722" s="453"/>
    </row>
    <row r="723" spans="3:5" ht="15">
      <c r="C723" s="453"/>
      <c r="D723" s="453"/>
      <c r="E723" s="453"/>
    </row>
    <row r="724" spans="3:5" ht="15">
      <c r="C724" s="453"/>
      <c r="D724" s="453"/>
      <c r="E724" s="453"/>
    </row>
    <row r="725" spans="3:5" ht="15">
      <c r="C725" s="453"/>
      <c r="D725" s="453"/>
      <c r="E725" s="453"/>
    </row>
    <row r="726" spans="3:5" ht="15">
      <c r="C726" s="453"/>
      <c r="D726" s="453"/>
      <c r="E726" s="453"/>
    </row>
    <row r="727" spans="3:5" ht="15">
      <c r="C727" s="453"/>
      <c r="D727" s="453"/>
      <c r="E727" s="453"/>
    </row>
    <row r="728" spans="3:5" ht="15">
      <c r="C728" s="453"/>
      <c r="D728" s="453"/>
      <c r="E728" s="453"/>
    </row>
    <row r="729" spans="3:5" ht="15">
      <c r="C729" s="453"/>
      <c r="D729" s="453"/>
      <c r="E729" s="453"/>
    </row>
    <row r="730" spans="3:5" ht="15">
      <c r="C730" s="453"/>
      <c r="D730" s="453"/>
      <c r="E730" s="453"/>
    </row>
    <row r="731" spans="3:5" ht="15">
      <c r="C731" s="453"/>
      <c r="D731" s="453"/>
      <c r="E731" s="453"/>
    </row>
    <row r="732" spans="3:5" ht="15">
      <c r="C732" s="453"/>
      <c r="D732" s="453"/>
      <c r="E732" s="453"/>
    </row>
    <row r="733" spans="3:5" ht="15">
      <c r="C733" s="453"/>
      <c r="D733" s="453"/>
      <c r="E733" s="453"/>
    </row>
    <row r="734" spans="3:5" ht="15">
      <c r="C734" s="453"/>
      <c r="D734" s="453"/>
      <c r="E734" s="453"/>
    </row>
    <row r="735" spans="3:5" ht="15">
      <c r="C735" s="453"/>
      <c r="D735" s="453"/>
      <c r="E735" s="453"/>
    </row>
    <row r="736" spans="3:5" ht="15">
      <c r="C736" s="453"/>
      <c r="D736" s="453"/>
      <c r="E736" s="453"/>
    </row>
    <row r="737" spans="3:5" ht="15">
      <c r="C737" s="453"/>
      <c r="D737" s="453"/>
      <c r="E737" s="453"/>
    </row>
    <row r="738" spans="3:5" ht="15">
      <c r="C738" s="453"/>
      <c r="D738" s="453"/>
      <c r="E738" s="453"/>
    </row>
    <row r="739" spans="3:5" ht="15">
      <c r="C739" s="453"/>
      <c r="D739" s="453"/>
      <c r="E739" s="453"/>
    </row>
    <row r="740" spans="3:5" ht="15">
      <c r="C740" s="453"/>
      <c r="D740" s="453"/>
      <c r="E740" s="453"/>
    </row>
    <row r="741" spans="3:5" ht="15">
      <c r="C741" s="453"/>
      <c r="D741" s="453"/>
      <c r="E741" s="453"/>
    </row>
    <row r="742" spans="3:5" ht="15">
      <c r="C742" s="453"/>
      <c r="D742" s="453"/>
      <c r="E742" s="453"/>
    </row>
    <row r="743" spans="3:5" ht="15">
      <c r="C743" s="453"/>
      <c r="D743" s="453"/>
      <c r="E743" s="453"/>
    </row>
    <row r="744" spans="3:5" ht="15">
      <c r="C744" s="453"/>
      <c r="D744" s="453"/>
      <c r="E744" s="453"/>
    </row>
    <row r="745" spans="3:5" ht="15">
      <c r="C745" s="453"/>
      <c r="D745" s="453"/>
      <c r="E745" s="453"/>
    </row>
    <row r="746" spans="3:5" ht="15">
      <c r="C746" s="453"/>
      <c r="D746" s="453"/>
      <c r="E746" s="453"/>
    </row>
    <row r="747" spans="3:5" ht="15">
      <c r="C747" s="453"/>
      <c r="D747" s="453"/>
      <c r="E747" s="453"/>
    </row>
    <row r="748" spans="3:5" ht="15">
      <c r="C748" s="453"/>
      <c r="D748" s="453"/>
      <c r="E748" s="453"/>
    </row>
    <row r="749" spans="3:5" ht="15">
      <c r="C749" s="453"/>
      <c r="D749" s="453"/>
      <c r="E749" s="453"/>
    </row>
    <row r="750" spans="3:5" ht="15">
      <c r="C750" s="453"/>
      <c r="D750" s="453"/>
      <c r="E750" s="453"/>
    </row>
    <row r="751" spans="3:5" ht="15">
      <c r="C751" s="453"/>
      <c r="D751" s="453"/>
      <c r="E751" s="453"/>
    </row>
    <row r="752" spans="3:5" ht="15">
      <c r="C752" s="453"/>
      <c r="D752" s="453"/>
      <c r="E752" s="453"/>
    </row>
    <row r="753" spans="3:5" ht="15">
      <c r="C753" s="453"/>
      <c r="D753" s="453"/>
      <c r="E753" s="453"/>
    </row>
    <row r="754" spans="3:5" ht="15">
      <c r="C754" s="453"/>
      <c r="D754" s="453"/>
      <c r="E754" s="453"/>
    </row>
    <row r="755" spans="3:5" ht="15">
      <c r="C755" s="453"/>
      <c r="D755" s="453"/>
      <c r="E755" s="453"/>
    </row>
    <row r="756" spans="3:5" ht="15">
      <c r="C756" s="453"/>
      <c r="D756" s="453"/>
      <c r="E756" s="453"/>
    </row>
    <row r="757" spans="3:5" ht="15">
      <c r="C757" s="453"/>
      <c r="D757" s="453"/>
      <c r="E757" s="453"/>
    </row>
    <row r="758" spans="3:5" ht="15">
      <c r="C758" s="453"/>
      <c r="D758" s="453"/>
      <c r="E758" s="453"/>
    </row>
    <row r="759" spans="3:5" ht="15">
      <c r="C759" s="453"/>
      <c r="D759" s="453"/>
      <c r="E759" s="453"/>
    </row>
    <row r="760" spans="3:5" ht="15">
      <c r="C760" s="453"/>
      <c r="D760" s="453"/>
      <c r="E760" s="453"/>
    </row>
    <row r="761" spans="3:5" ht="15">
      <c r="C761" s="453"/>
      <c r="D761" s="453"/>
      <c r="E761" s="453"/>
    </row>
    <row r="762" spans="3:5" ht="15">
      <c r="C762" s="453"/>
      <c r="D762" s="453"/>
      <c r="E762" s="453"/>
    </row>
    <row r="763" spans="3:5" ht="15">
      <c r="C763" s="453"/>
      <c r="D763" s="453"/>
      <c r="E763" s="453"/>
    </row>
    <row r="764" spans="3:5" ht="15">
      <c r="C764" s="453"/>
      <c r="D764" s="453"/>
      <c r="E764" s="453"/>
    </row>
    <row r="765" spans="3:5" ht="15">
      <c r="C765" s="453"/>
      <c r="D765" s="453"/>
      <c r="E765" s="453"/>
    </row>
    <row r="766" spans="3:5" ht="15">
      <c r="C766" s="453"/>
      <c r="D766" s="453"/>
      <c r="E766" s="453"/>
    </row>
    <row r="767" spans="3:5" ht="15">
      <c r="C767" s="453"/>
      <c r="D767" s="453"/>
      <c r="E767" s="453"/>
    </row>
    <row r="768" spans="3:5" ht="15">
      <c r="C768" s="453"/>
      <c r="D768" s="453"/>
      <c r="E768" s="453"/>
    </row>
    <row r="769" spans="3:5" ht="15">
      <c r="C769" s="453"/>
      <c r="D769" s="453"/>
      <c r="E769" s="453"/>
    </row>
    <row r="770" spans="3:5" ht="15">
      <c r="C770" s="453"/>
      <c r="D770" s="453"/>
      <c r="E770" s="453"/>
    </row>
    <row r="771" spans="3:5" ht="15">
      <c r="C771" s="453"/>
      <c r="D771" s="453"/>
      <c r="E771" s="453"/>
    </row>
    <row r="772" spans="3:5" ht="15">
      <c r="C772" s="453"/>
      <c r="D772" s="453"/>
      <c r="E772" s="453"/>
    </row>
    <row r="773" spans="3:5" ht="15">
      <c r="C773" s="453"/>
      <c r="D773" s="453"/>
      <c r="E773" s="453"/>
    </row>
    <row r="774" spans="3:5" ht="15">
      <c r="C774" s="453"/>
      <c r="D774" s="453"/>
      <c r="E774" s="453"/>
    </row>
    <row r="775" spans="3:5" ht="15">
      <c r="C775" s="453"/>
      <c r="D775" s="453"/>
      <c r="E775" s="453"/>
    </row>
    <row r="776" spans="3:5" ht="15">
      <c r="C776" s="453"/>
      <c r="D776" s="453"/>
      <c r="E776" s="453"/>
    </row>
    <row r="777" spans="3:5" ht="15">
      <c r="C777" s="453"/>
      <c r="D777" s="453"/>
      <c r="E777" s="453"/>
    </row>
    <row r="778" spans="3:5" ht="15">
      <c r="C778" s="453"/>
      <c r="D778" s="453"/>
      <c r="E778" s="453"/>
    </row>
    <row r="779" spans="3:5" ht="15">
      <c r="C779" s="453"/>
      <c r="D779" s="453"/>
      <c r="E779" s="453"/>
    </row>
    <row r="780" spans="3:5" ht="15">
      <c r="C780" s="453"/>
      <c r="D780" s="453"/>
      <c r="E780" s="453"/>
    </row>
    <row r="781" spans="3:5" ht="15">
      <c r="C781" s="453"/>
      <c r="D781" s="453"/>
      <c r="E781" s="453"/>
    </row>
    <row r="782" spans="3:5" ht="15">
      <c r="C782" s="453"/>
      <c r="D782" s="453"/>
      <c r="E782" s="453"/>
    </row>
    <row r="783" spans="3:5" ht="15">
      <c r="C783" s="453"/>
      <c r="D783" s="453"/>
      <c r="E783" s="453"/>
    </row>
    <row r="784" spans="3:5" ht="15">
      <c r="C784" s="453"/>
      <c r="D784" s="453"/>
      <c r="E784" s="453"/>
    </row>
    <row r="785" spans="3:5" ht="15">
      <c r="C785" s="453"/>
      <c r="D785" s="453"/>
      <c r="E785" s="453"/>
    </row>
    <row r="786" spans="3:5" ht="15">
      <c r="C786" s="453"/>
      <c r="D786" s="453"/>
      <c r="E786" s="453"/>
    </row>
    <row r="787" spans="3:5" ht="15">
      <c r="C787" s="453"/>
      <c r="D787" s="453"/>
      <c r="E787" s="453"/>
    </row>
    <row r="788" spans="3:5" ht="15">
      <c r="C788" s="453"/>
      <c r="D788" s="453"/>
      <c r="E788" s="453"/>
    </row>
    <row r="789" spans="3:5" ht="15">
      <c r="C789" s="453"/>
      <c r="D789" s="453"/>
      <c r="E789" s="453"/>
    </row>
    <row r="790" spans="3:5" ht="15">
      <c r="C790" s="453"/>
      <c r="D790" s="453"/>
      <c r="E790" s="453"/>
    </row>
    <row r="791" spans="3:5" ht="15">
      <c r="C791" s="453"/>
      <c r="D791" s="453"/>
      <c r="E791" s="453"/>
    </row>
    <row r="792" spans="3:5" ht="15">
      <c r="C792" s="453"/>
      <c r="D792" s="453"/>
      <c r="E792" s="453"/>
    </row>
    <row r="793" spans="3:5" ht="15">
      <c r="C793" s="453"/>
      <c r="D793" s="453"/>
      <c r="E793" s="453"/>
    </row>
    <row r="794" spans="3:5" ht="15">
      <c r="C794" s="453"/>
      <c r="D794" s="453"/>
      <c r="E794" s="453"/>
    </row>
    <row r="795" spans="3:5" ht="15">
      <c r="C795" s="453"/>
      <c r="D795" s="453"/>
      <c r="E795" s="453"/>
    </row>
    <row r="796" spans="3:5" ht="15">
      <c r="C796" s="453"/>
      <c r="D796" s="453"/>
      <c r="E796" s="453"/>
    </row>
    <row r="797" spans="3:5" ht="15">
      <c r="C797" s="453"/>
      <c r="D797" s="453"/>
      <c r="E797" s="453"/>
    </row>
    <row r="798" spans="3:5" ht="15">
      <c r="C798" s="453"/>
      <c r="D798" s="453"/>
      <c r="E798" s="453"/>
    </row>
    <row r="799" spans="3:5" ht="15">
      <c r="C799" s="453"/>
      <c r="D799" s="453"/>
      <c r="E799" s="453"/>
    </row>
    <row r="800" spans="3:5" ht="15">
      <c r="C800" s="453"/>
      <c r="D800" s="453"/>
      <c r="E800" s="453"/>
    </row>
    <row r="801" spans="3:5" ht="15">
      <c r="C801" s="453"/>
      <c r="D801" s="453"/>
      <c r="E801" s="453"/>
    </row>
    <row r="802" spans="3:5" ht="15">
      <c r="C802" s="453"/>
      <c r="D802" s="453"/>
      <c r="E802" s="453"/>
    </row>
    <row r="803" spans="3:5" ht="15">
      <c r="C803" s="453"/>
      <c r="D803" s="453"/>
      <c r="E803" s="453"/>
    </row>
    <row r="804" spans="3:5" ht="15">
      <c r="C804" s="453"/>
      <c r="D804" s="453"/>
      <c r="E804" s="453"/>
    </row>
    <row r="805" spans="3:5" ht="15">
      <c r="C805" s="453"/>
      <c r="D805" s="453"/>
      <c r="E805" s="453"/>
    </row>
    <row r="806" spans="3:5" ht="15">
      <c r="C806" s="453"/>
      <c r="D806" s="453"/>
      <c r="E806" s="453"/>
    </row>
    <row r="807" spans="3:5" ht="15">
      <c r="C807" s="453"/>
      <c r="D807" s="453"/>
      <c r="E807" s="453"/>
    </row>
    <row r="808" spans="3:5" ht="15">
      <c r="C808" s="453"/>
      <c r="D808" s="453"/>
      <c r="E808" s="453"/>
    </row>
    <row r="809" spans="3:5" ht="15">
      <c r="C809" s="453"/>
      <c r="D809" s="453"/>
      <c r="E809" s="453"/>
    </row>
    <row r="810" spans="3:5" ht="15">
      <c r="C810" s="453"/>
      <c r="D810" s="453"/>
      <c r="E810" s="453"/>
    </row>
    <row r="811" spans="3:5" ht="15">
      <c r="C811" s="453"/>
      <c r="D811" s="453"/>
      <c r="E811" s="453"/>
    </row>
    <row r="812" spans="3:5" ht="15">
      <c r="C812" s="453"/>
      <c r="D812" s="453"/>
      <c r="E812" s="453"/>
    </row>
    <row r="813" spans="3:5" ht="15">
      <c r="C813" s="453"/>
      <c r="D813" s="453"/>
      <c r="E813" s="453"/>
    </row>
    <row r="814" spans="3:5" ht="15">
      <c r="C814" s="453"/>
      <c r="D814" s="453"/>
      <c r="E814" s="453"/>
    </row>
    <row r="815" spans="3:5" ht="15">
      <c r="C815" s="453"/>
      <c r="D815" s="453"/>
      <c r="E815" s="453"/>
    </row>
    <row r="816" spans="3:5" ht="15">
      <c r="C816" s="453"/>
      <c r="D816" s="453"/>
      <c r="E816" s="453"/>
    </row>
    <row r="817" spans="3:5" ht="15">
      <c r="C817" s="453"/>
      <c r="D817" s="453"/>
      <c r="E817" s="453"/>
    </row>
    <row r="818" spans="3:5" ht="15">
      <c r="C818" s="453"/>
      <c r="D818" s="453"/>
      <c r="E818" s="453"/>
    </row>
    <row r="819" spans="3:5" ht="15">
      <c r="C819" s="453"/>
      <c r="D819" s="453"/>
      <c r="E819" s="453"/>
    </row>
    <row r="820" spans="3:5" ht="15">
      <c r="C820" s="453"/>
      <c r="D820" s="453"/>
      <c r="E820" s="453"/>
    </row>
    <row r="821" spans="3:5" ht="15">
      <c r="C821" s="453"/>
      <c r="D821" s="453"/>
      <c r="E821" s="453"/>
    </row>
    <row r="822" spans="3:5" ht="15">
      <c r="C822" s="453"/>
      <c r="D822" s="453"/>
      <c r="E822" s="453"/>
    </row>
    <row r="823" spans="3:5" ht="15">
      <c r="C823" s="453"/>
      <c r="D823" s="453"/>
      <c r="E823" s="453"/>
    </row>
    <row r="824" spans="3:5" ht="15">
      <c r="C824" s="453"/>
      <c r="D824" s="453"/>
      <c r="E824" s="453"/>
    </row>
    <row r="825" spans="3:5" ht="15">
      <c r="C825" s="453"/>
      <c r="D825" s="453"/>
      <c r="E825" s="453"/>
    </row>
    <row r="826" spans="3:5" ht="15">
      <c r="C826" s="453"/>
      <c r="D826" s="453"/>
      <c r="E826" s="453"/>
    </row>
    <row r="827" spans="3:5" ht="15">
      <c r="C827" s="453"/>
      <c r="D827" s="453"/>
      <c r="E827" s="453"/>
    </row>
    <row r="828" spans="3:5" ht="15">
      <c r="C828" s="453"/>
      <c r="D828" s="453"/>
      <c r="E828" s="453"/>
    </row>
    <row r="829" spans="3:5" ht="15">
      <c r="C829" s="453"/>
      <c r="D829" s="453"/>
      <c r="E829" s="453"/>
    </row>
    <row r="830" spans="3:5" ht="15">
      <c r="C830" s="453"/>
      <c r="D830" s="453"/>
      <c r="E830" s="453"/>
    </row>
    <row r="831" spans="3:5" ht="15">
      <c r="C831" s="453"/>
      <c r="D831" s="453"/>
      <c r="E831" s="453"/>
    </row>
    <row r="832" spans="3:5" ht="15">
      <c r="C832" s="453"/>
      <c r="D832" s="453"/>
      <c r="E832" s="453"/>
    </row>
    <row r="833" spans="3:5" ht="15">
      <c r="C833" s="453"/>
      <c r="D833" s="453"/>
      <c r="E833" s="453"/>
    </row>
    <row r="834" spans="3:5" ht="15">
      <c r="C834" s="453"/>
      <c r="D834" s="453"/>
      <c r="E834" s="453"/>
    </row>
    <row r="835" spans="3:5" ht="15">
      <c r="C835" s="453"/>
      <c r="D835" s="453"/>
      <c r="E835" s="453"/>
    </row>
    <row r="836" spans="3:5" ht="15">
      <c r="C836" s="453"/>
      <c r="D836" s="453"/>
      <c r="E836" s="453"/>
    </row>
    <row r="837" spans="3:5" ht="15">
      <c r="C837" s="453"/>
      <c r="D837" s="453"/>
      <c r="E837" s="453"/>
    </row>
    <row r="838" spans="3:5" ht="15">
      <c r="C838" s="453"/>
      <c r="D838" s="453"/>
      <c r="E838" s="453"/>
    </row>
    <row r="839" spans="3:5" ht="15">
      <c r="C839" s="453"/>
      <c r="D839" s="453"/>
      <c r="E839" s="453"/>
    </row>
    <row r="840" spans="3:5" ht="15">
      <c r="C840" s="453"/>
      <c r="D840" s="453"/>
      <c r="E840" s="453"/>
    </row>
    <row r="841" spans="3:5" ht="15">
      <c r="C841" s="453"/>
      <c r="D841" s="453"/>
      <c r="E841" s="453"/>
    </row>
    <row r="842" spans="3:5" ht="15">
      <c r="C842" s="453"/>
      <c r="D842" s="453"/>
      <c r="E842" s="453"/>
    </row>
    <row r="843" spans="3:5" ht="15">
      <c r="C843" s="453"/>
      <c r="D843" s="453"/>
      <c r="E843" s="453"/>
    </row>
    <row r="844" spans="3:5" ht="15">
      <c r="C844" s="453"/>
      <c r="D844" s="453"/>
      <c r="E844" s="453"/>
    </row>
    <row r="845" spans="3:5" ht="15">
      <c r="C845" s="453"/>
      <c r="D845" s="453"/>
      <c r="E845" s="453"/>
    </row>
    <row r="846" spans="3:5" ht="15">
      <c r="C846" s="453"/>
      <c r="D846" s="453"/>
      <c r="E846" s="453"/>
    </row>
    <row r="847" spans="3:5" ht="15">
      <c r="C847" s="453"/>
      <c r="D847" s="453"/>
      <c r="E847" s="453"/>
    </row>
    <row r="848" spans="3:5" ht="15">
      <c r="C848" s="453"/>
      <c r="D848" s="453"/>
      <c r="E848" s="453"/>
    </row>
    <row r="849" spans="3:5" ht="15">
      <c r="C849" s="453"/>
      <c r="D849" s="453"/>
      <c r="E849" s="453"/>
    </row>
    <row r="850" spans="3:5" ht="15">
      <c r="C850" s="453"/>
      <c r="D850" s="453"/>
      <c r="E850" s="453"/>
    </row>
    <row r="851" spans="3:5" ht="15">
      <c r="C851" s="453"/>
      <c r="D851" s="453"/>
      <c r="E851" s="453"/>
    </row>
    <row r="852" spans="3:5" ht="15">
      <c r="C852" s="453"/>
      <c r="D852" s="453"/>
      <c r="E852" s="453"/>
    </row>
    <row r="853" spans="3:5" ht="15">
      <c r="C853" s="453"/>
      <c r="D853" s="453"/>
      <c r="E853" s="453"/>
    </row>
    <row r="854" spans="3:5" ht="15">
      <c r="C854" s="453"/>
      <c r="D854" s="453"/>
      <c r="E854" s="453"/>
    </row>
    <row r="855" spans="3:5" ht="15">
      <c r="C855" s="453"/>
      <c r="D855" s="453"/>
      <c r="E855" s="453"/>
    </row>
    <row r="856" spans="3:5" ht="15">
      <c r="C856" s="453"/>
      <c r="D856" s="453"/>
      <c r="E856" s="453"/>
    </row>
    <row r="857" spans="3:5" ht="15">
      <c r="C857" s="453"/>
      <c r="D857" s="453"/>
      <c r="E857" s="453"/>
    </row>
    <row r="858" spans="3:5" ht="15">
      <c r="C858" s="453"/>
      <c r="D858" s="453"/>
      <c r="E858" s="453"/>
    </row>
    <row r="859" spans="3:5" ht="15">
      <c r="C859" s="453"/>
      <c r="D859" s="453"/>
      <c r="E859" s="453"/>
    </row>
    <row r="860" spans="3:5" ht="15">
      <c r="C860" s="453"/>
      <c r="D860" s="453"/>
      <c r="E860" s="453"/>
    </row>
    <row r="861" spans="3:5" ht="15">
      <c r="C861" s="453"/>
      <c r="D861" s="453"/>
      <c r="E861" s="453"/>
    </row>
    <row r="862" spans="3:5" ht="15">
      <c r="C862" s="453"/>
      <c r="D862" s="453"/>
      <c r="E862" s="453"/>
    </row>
    <row r="863" spans="3:5" ht="15">
      <c r="C863" s="453"/>
      <c r="D863" s="453"/>
      <c r="E863" s="453"/>
    </row>
    <row r="864" spans="3:5" ht="15">
      <c r="C864" s="453"/>
      <c r="D864" s="453"/>
      <c r="E864" s="453"/>
    </row>
    <row r="865" spans="3:5" ht="15">
      <c r="C865" s="453"/>
      <c r="D865" s="453"/>
      <c r="E865" s="453"/>
    </row>
    <row r="866" spans="3:5" ht="15">
      <c r="C866" s="453"/>
      <c r="D866" s="453"/>
      <c r="E866" s="453"/>
    </row>
    <row r="867" spans="3:5" ht="15">
      <c r="C867" s="453"/>
      <c r="D867" s="453"/>
      <c r="E867" s="453"/>
    </row>
    <row r="868" spans="3:5" ht="15">
      <c r="C868" s="453"/>
      <c r="D868" s="453"/>
      <c r="E868" s="453"/>
    </row>
    <row r="869" spans="3:5" ht="15">
      <c r="C869" s="453"/>
      <c r="D869" s="453"/>
      <c r="E869" s="453"/>
    </row>
    <row r="870" spans="3:5" ht="15">
      <c r="C870" s="453"/>
      <c r="D870" s="453"/>
      <c r="E870" s="453"/>
    </row>
    <row r="871" spans="3:5" ht="15">
      <c r="C871" s="453"/>
      <c r="D871" s="453"/>
      <c r="E871" s="453"/>
    </row>
    <row r="872" spans="3:5" ht="15">
      <c r="C872" s="453"/>
      <c r="D872" s="453"/>
      <c r="E872" s="453"/>
    </row>
    <row r="873" spans="3:5" ht="15">
      <c r="C873" s="453"/>
      <c r="D873" s="453"/>
      <c r="E873" s="453"/>
    </row>
    <row r="874" spans="3:5" ht="15">
      <c r="C874" s="453"/>
      <c r="D874" s="453"/>
      <c r="E874" s="453"/>
    </row>
    <row r="875" spans="3:5" ht="15">
      <c r="C875" s="453"/>
      <c r="D875" s="453"/>
      <c r="E875" s="453"/>
    </row>
    <row r="876" spans="3:5" ht="15">
      <c r="C876" s="453"/>
      <c r="D876" s="453"/>
      <c r="E876" s="453"/>
    </row>
    <row r="877" spans="3:5" ht="15">
      <c r="C877" s="453"/>
      <c r="D877" s="453"/>
      <c r="E877" s="453"/>
    </row>
    <row r="878" spans="3:5" ht="15">
      <c r="C878" s="453"/>
      <c r="D878" s="453"/>
      <c r="E878" s="453"/>
    </row>
    <row r="879" spans="3:5" ht="15">
      <c r="C879" s="453"/>
      <c r="D879" s="453"/>
      <c r="E879" s="453"/>
    </row>
    <row r="880" spans="3:5" ht="15">
      <c r="C880" s="453"/>
      <c r="D880" s="453"/>
      <c r="E880" s="453"/>
    </row>
    <row r="881" spans="3:5" ht="15">
      <c r="C881" s="453"/>
      <c r="D881" s="453"/>
      <c r="E881" s="453"/>
    </row>
    <row r="882" spans="3:5" ht="15">
      <c r="C882" s="453"/>
      <c r="D882" s="453"/>
      <c r="E882" s="453"/>
    </row>
    <row r="883" spans="3:5" ht="15">
      <c r="C883" s="453"/>
      <c r="D883" s="453"/>
      <c r="E883" s="453"/>
    </row>
    <row r="884" spans="3:5" ht="15">
      <c r="C884" s="453"/>
      <c r="D884" s="453"/>
      <c r="E884" s="453"/>
    </row>
    <row r="885" spans="3:5" ht="15">
      <c r="C885" s="453"/>
      <c r="D885" s="453"/>
      <c r="E885" s="453"/>
    </row>
    <row r="886" spans="3:5" ht="15">
      <c r="C886" s="453"/>
      <c r="D886" s="453"/>
      <c r="E886" s="453"/>
    </row>
    <row r="887" spans="3:5" ht="15">
      <c r="C887" s="453"/>
      <c r="D887" s="453"/>
      <c r="E887" s="453"/>
    </row>
    <row r="888" spans="3:5" ht="15">
      <c r="C888" s="453"/>
      <c r="D888" s="453"/>
      <c r="E888" s="453"/>
    </row>
    <row r="889" spans="3:5" ht="15">
      <c r="C889" s="453"/>
      <c r="D889" s="453"/>
      <c r="E889" s="453"/>
    </row>
    <row r="890" spans="3:5" ht="15">
      <c r="C890" s="453"/>
      <c r="D890" s="453"/>
      <c r="E890" s="453"/>
    </row>
    <row r="891" spans="3:5" ht="15">
      <c r="C891" s="453"/>
      <c r="D891" s="453"/>
      <c r="E891" s="453"/>
    </row>
    <row r="892" spans="3:5" ht="15">
      <c r="C892" s="453"/>
      <c r="D892" s="453"/>
      <c r="E892" s="453"/>
    </row>
    <row r="893" spans="3:5" ht="15">
      <c r="C893" s="453"/>
      <c r="D893" s="453"/>
      <c r="E893" s="453"/>
    </row>
    <row r="894" spans="3:5" ht="15">
      <c r="C894" s="453"/>
      <c r="D894" s="453"/>
      <c r="E894" s="453"/>
    </row>
    <row r="895" spans="3:5" ht="15">
      <c r="C895" s="453"/>
      <c r="D895" s="453"/>
      <c r="E895" s="453"/>
    </row>
    <row r="896" spans="3:5" ht="15">
      <c r="C896" s="453"/>
      <c r="D896" s="453"/>
      <c r="E896" s="453"/>
    </row>
    <row r="897" spans="3:5" ht="15">
      <c r="C897" s="453"/>
      <c r="D897" s="453"/>
      <c r="E897" s="453"/>
    </row>
    <row r="898" spans="3:5" ht="15">
      <c r="C898" s="453"/>
      <c r="D898" s="453"/>
      <c r="E898" s="453"/>
    </row>
    <row r="899" spans="3:5" ht="15">
      <c r="C899" s="453"/>
      <c r="D899" s="453"/>
      <c r="E899" s="453"/>
    </row>
    <row r="900" spans="3:5" ht="15">
      <c r="C900" s="453"/>
      <c r="D900" s="453"/>
      <c r="E900" s="453"/>
    </row>
    <row r="901" spans="3:5" ht="15">
      <c r="C901" s="453"/>
      <c r="D901" s="453"/>
      <c r="E901" s="453"/>
    </row>
    <row r="902" spans="3:5" ht="15">
      <c r="C902" s="453"/>
      <c r="D902" s="453"/>
      <c r="E902" s="453"/>
    </row>
    <row r="903" spans="3:5" ht="15">
      <c r="C903" s="453"/>
      <c r="D903" s="453"/>
      <c r="E903" s="453"/>
    </row>
    <row r="904" spans="3:5" ht="15">
      <c r="C904" s="453"/>
      <c r="D904" s="453"/>
      <c r="E904" s="453"/>
    </row>
    <row r="905" spans="3:5" ht="15">
      <c r="C905" s="453"/>
      <c r="D905" s="453"/>
      <c r="E905" s="453"/>
    </row>
    <row r="906" spans="3:5" ht="15">
      <c r="C906" s="453"/>
      <c r="D906" s="453"/>
      <c r="E906" s="453"/>
    </row>
    <row r="907" spans="3:5" ht="15">
      <c r="C907" s="453"/>
      <c r="D907" s="453"/>
      <c r="E907" s="453"/>
    </row>
    <row r="908" spans="3:5" ht="15">
      <c r="C908" s="453"/>
      <c r="D908" s="453"/>
      <c r="E908" s="453"/>
    </row>
    <row r="909" spans="3:5" ht="15">
      <c r="C909" s="453"/>
      <c r="D909" s="453"/>
      <c r="E909" s="453"/>
    </row>
    <row r="910" spans="3:5" ht="15">
      <c r="C910" s="453"/>
      <c r="D910" s="453"/>
      <c r="E910" s="453"/>
    </row>
    <row r="911" spans="3:5" ht="15">
      <c r="C911" s="453"/>
      <c r="D911" s="453"/>
      <c r="E911" s="453"/>
    </row>
    <row r="912" spans="3:5" ht="15">
      <c r="C912" s="453"/>
      <c r="D912" s="453"/>
      <c r="E912" s="453"/>
    </row>
    <row r="913" spans="3:5" ht="15">
      <c r="C913" s="453"/>
      <c r="D913" s="453"/>
      <c r="E913" s="453"/>
    </row>
    <row r="914" spans="3:5" ht="15">
      <c r="C914" s="453"/>
      <c r="D914" s="453"/>
      <c r="E914" s="453"/>
    </row>
    <row r="915" spans="3:5" ht="15">
      <c r="C915" s="453"/>
      <c r="D915" s="453"/>
      <c r="E915" s="453"/>
    </row>
    <row r="916" spans="3:5" ht="15">
      <c r="C916" s="453"/>
      <c r="D916" s="453"/>
      <c r="E916" s="453"/>
    </row>
    <row r="917" spans="3:5" ht="15">
      <c r="C917" s="453"/>
      <c r="D917" s="453"/>
      <c r="E917" s="453"/>
    </row>
    <row r="918" spans="3:5" ht="15">
      <c r="C918" s="453"/>
      <c r="D918" s="453"/>
      <c r="E918" s="453"/>
    </row>
    <row r="919" spans="3:5" ht="15">
      <c r="C919" s="453"/>
      <c r="D919" s="453"/>
      <c r="E919" s="453"/>
    </row>
    <row r="920" spans="3:5" ht="15">
      <c r="C920" s="453"/>
      <c r="D920" s="453"/>
      <c r="E920" s="453"/>
    </row>
    <row r="921" spans="3:5" ht="15">
      <c r="C921" s="453"/>
      <c r="D921" s="453"/>
      <c r="E921" s="453"/>
    </row>
    <row r="922" spans="3:5" ht="15">
      <c r="C922" s="453"/>
      <c r="D922" s="453"/>
      <c r="E922" s="453"/>
    </row>
    <row r="923" spans="3:5" ht="15">
      <c r="C923" s="453"/>
      <c r="D923" s="453"/>
      <c r="E923" s="453"/>
    </row>
    <row r="924" spans="3:5" ht="15">
      <c r="C924" s="453"/>
      <c r="D924" s="453"/>
      <c r="E924" s="453"/>
    </row>
    <row r="925" spans="3:5" ht="15">
      <c r="C925" s="453"/>
      <c r="D925" s="453"/>
      <c r="E925" s="453"/>
    </row>
    <row r="926" spans="3:5" ht="15">
      <c r="C926" s="453"/>
      <c r="D926" s="453"/>
      <c r="E926" s="453"/>
    </row>
    <row r="927" spans="3:5" ht="15">
      <c r="C927" s="453"/>
      <c r="D927" s="453"/>
      <c r="E927" s="453"/>
    </row>
    <row r="928" spans="3:5" ht="15">
      <c r="C928" s="453"/>
      <c r="D928" s="453"/>
      <c r="E928" s="453"/>
    </row>
    <row r="929" spans="3:5" ht="15">
      <c r="C929" s="453"/>
      <c r="D929" s="453"/>
      <c r="E929" s="453"/>
    </row>
    <row r="930" spans="3:5" ht="15">
      <c r="C930" s="453"/>
      <c r="D930" s="453"/>
      <c r="E930" s="453"/>
    </row>
    <row r="931" spans="3:5" ht="15">
      <c r="C931" s="453"/>
      <c r="D931" s="453"/>
      <c r="E931" s="453"/>
    </row>
    <row r="932" spans="3:5" ht="15">
      <c r="C932" s="453"/>
      <c r="D932" s="453"/>
      <c r="E932" s="453"/>
    </row>
    <row r="933" spans="3:5" ht="15">
      <c r="C933" s="453"/>
      <c r="D933" s="453"/>
      <c r="E933" s="453"/>
    </row>
    <row r="934" spans="3:5" ht="15">
      <c r="C934" s="453"/>
      <c r="D934" s="453"/>
      <c r="E934" s="453"/>
    </row>
    <row r="935" spans="3:5" ht="15">
      <c r="C935" s="453"/>
      <c r="D935" s="453"/>
      <c r="E935" s="453"/>
    </row>
    <row r="936" spans="3:5" ht="15">
      <c r="C936" s="453"/>
      <c r="D936" s="453"/>
      <c r="E936" s="453"/>
    </row>
    <row r="937" spans="3:5" ht="15">
      <c r="C937" s="453"/>
      <c r="D937" s="453"/>
      <c r="E937" s="453"/>
    </row>
    <row r="938" spans="3:5" ht="15">
      <c r="C938" s="453"/>
      <c r="D938" s="453"/>
      <c r="E938" s="453"/>
    </row>
    <row r="939" spans="3:5" ht="15">
      <c r="C939" s="453"/>
      <c r="D939" s="453"/>
      <c r="E939" s="453"/>
    </row>
    <row r="940" spans="3:5" ht="15">
      <c r="C940" s="453"/>
      <c r="D940" s="453"/>
      <c r="E940" s="453"/>
    </row>
    <row r="941" spans="3:5" ht="15">
      <c r="C941" s="453"/>
      <c r="D941" s="453"/>
      <c r="E941" s="453"/>
    </row>
    <row r="942" spans="3:5" ht="15">
      <c r="C942" s="453"/>
      <c r="D942" s="453"/>
      <c r="E942" s="453"/>
    </row>
    <row r="943" spans="3:5" ht="15">
      <c r="C943" s="453"/>
      <c r="D943" s="453"/>
      <c r="E943" s="453"/>
    </row>
    <row r="944" spans="3:5" ht="15">
      <c r="C944" s="453"/>
      <c r="D944" s="453"/>
      <c r="E944" s="453"/>
    </row>
    <row r="945" spans="3:5" ht="15">
      <c r="C945" s="453"/>
      <c r="D945" s="453"/>
      <c r="E945" s="453"/>
    </row>
    <row r="946" spans="3:5" ht="15">
      <c r="C946" s="453"/>
      <c r="D946" s="453"/>
      <c r="E946" s="453"/>
    </row>
    <row r="947" spans="3:5" ht="15">
      <c r="C947" s="453"/>
      <c r="D947" s="453"/>
      <c r="E947" s="453"/>
    </row>
    <row r="948" spans="3:5" ht="15">
      <c r="C948" s="453"/>
      <c r="D948" s="453"/>
      <c r="E948" s="453"/>
    </row>
    <row r="949" spans="3:5" ht="15">
      <c r="C949" s="453"/>
      <c r="D949" s="453"/>
      <c r="E949" s="453"/>
    </row>
    <row r="950" spans="3:5" ht="15">
      <c r="C950" s="453"/>
      <c r="D950" s="453"/>
      <c r="E950" s="453"/>
    </row>
    <row r="951" spans="3:5" ht="15">
      <c r="C951" s="453"/>
      <c r="D951" s="453"/>
      <c r="E951" s="453"/>
    </row>
    <row r="952" spans="3:5" ht="15">
      <c r="C952" s="453"/>
      <c r="D952" s="453"/>
      <c r="E952" s="453"/>
    </row>
    <row r="953" spans="3:5" ht="15">
      <c r="C953" s="453"/>
      <c r="D953" s="453"/>
      <c r="E953" s="453"/>
    </row>
    <row r="954" spans="3:5" ht="15">
      <c r="C954" s="453"/>
      <c r="D954" s="453"/>
      <c r="E954" s="453"/>
    </row>
    <row r="955" spans="3:5" ht="15">
      <c r="C955" s="453"/>
      <c r="D955" s="453"/>
      <c r="E955" s="453"/>
    </row>
    <row r="956" spans="3:5" ht="15">
      <c r="C956" s="453"/>
      <c r="D956" s="453"/>
      <c r="E956" s="453"/>
    </row>
    <row r="957" spans="3:5" ht="15">
      <c r="C957" s="453"/>
      <c r="D957" s="453"/>
      <c r="E957" s="453"/>
    </row>
    <row r="958" spans="3:5" ht="15">
      <c r="C958" s="453"/>
      <c r="D958" s="453"/>
      <c r="E958" s="453"/>
    </row>
    <row r="959" spans="3:5" ht="15">
      <c r="C959" s="453"/>
      <c r="D959" s="453"/>
      <c r="E959" s="453"/>
    </row>
    <row r="960" spans="3:5" ht="15">
      <c r="C960" s="453"/>
      <c r="D960" s="453"/>
      <c r="E960" s="453"/>
    </row>
    <row r="961" spans="3:5" ht="15">
      <c r="C961" s="453"/>
      <c r="D961" s="453"/>
      <c r="E961" s="453"/>
    </row>
    <row r="962" spans="3:5" ht="15">
      <c r="C962" s="453"/>
      <c r="D962" s="453"/>
      <c r="E962" s="453"/>
    </row>
    <row r="963" spans="3:5" ht="15">
      <c r="C963" s="453"/>
      <c r="D963" s="453"/>
      <c r="E963" s="453"/>
    </row>
    <row r="964" spans="3:5" ht="15">
      <c r="C964" s="453"/>
      <c r="D964" s="453"/>
      <c r="E964" s="453"/>
    </row>
    <row r="965" spans="3:5" ht="15">
      <c r="C965" s="453"/>
      <c r="D965" s="453"/>
      <c r="E965" s="453"/>
    </row>
    <row r="966" spans="3:5" ht="15">
      <c r="C966" s="453"/>
      <c r="D966" s="453"/>
      <c r="E966" s="453"/>
    </row>
    <row r="967" spans="3:5" ht="15">
      <c r="C967" s="453"/>
      <c r="D967" s="453"/>
      <c r="E967" s="453"/>
    </row>
    <row r="968" spans="3:5" ht="15">
      <c r="C968" s="453"/>
      <c r="D968" s="453"/>
      <c r="E968" s="453"/>
    </row>
    <row r="969" spans="3:5" ht="15">
      <c r="C969" s="453"/>
      <c r="D969" s="453"/>
      <c r="E969" s="453"/>
    </row>
    <row r="970" spans="3:5" ht="15">
      <c r="C970" s="453"/>
      <c r="D970" s="453"/>
      <c r="E970" s="453"/>
    </row>
    <row r="971" spans="3:5" ht="15">
      <c r="C971" s="453"/>
      <c r="D971" s="453"/>
      <c r="E971" s="453"/>
    </row>
    <row r="972" spans="3:5" ht="15">
      <c r="C972" s="453"/>
      <c r="D972" s="453"/>
      <c r="E972" s="453"/>
    </row>
    <row r="973" spans="3:5" ht="15">
      <c r="C973" s="453"/>
      <c r="D973" s="453"/>
      <c r="E973" s="453"/>
    </row>
    <row r="974" spans="3:5" ht="15">
      <c r="C974" s="453"/>
      <c r="D974" s="453"/>
      <c r="E974" s="453"/>
    </row>
    <row r="975" spans="3:5" ht="15">
      <c r="C975" s="453"/>
      <c r="D975" s="453"/>
      <c r="E975" s="453"/>
    </row>
    <row r="976" spans="3:5" ht="15">
      <c r="C976" s="453"/>
      <c r="D976" s="453"/>
      <c r="E976" s="453"/>
    </row>
    <row r="977" spans="3:5" ht="15">
      <c r="C977" s="453"/>
      <c r="D977" s="453"/>
      <c r="E977" s="453"/>
    </row>
    <row r="978" spans="3:5" ht="15">
      <c r="C978" s="453"/>
      <c r="D978" s="453"/>
      <c r="E978" s="453"/>
    </row>
    <row r="979" spans="3:5" ht="15">
      <c r="C979" s="453"/>
      <c r="D979" s="453"/>
      <c r="E979" s="453"/>
    </row>
    <row r="980" spans="3:5" ht="15">
      <c r="C980" s="453"/>
      <c r="D980" s="453"/>
      <c r="E980" s="453"/>
    </row>
    <row r="981" spans="3:5" ht="15">
      <c r="C981" s="453"/>
      <c r="D981" s="453"/>
      <c r="E981" s="453"/>
    </row>
    <row r="982" spans="3:5" ht="15">
      <c r="C982" s="453"/>
      <c r="D982" s="453"/>
      <c r="E982" s="453"/>
    </row>
    <row r="983" spans="3:5" ht="15">
      <c r="C983" s="453"/>
      <c r="D983" s="453"/>
      <c r="E983" s="453"/>
    </row>
    <row r="984" spans="3:5" ht="15">
      <c r="C984" s="453"/>
      <c r="D984" s="453"/>
      <c r="E984" s="453"/>
    </row>
    <row r="985" spans="3:5" ht="15">
      <c r="C985" s="453"/>
      <c r="D985" s="453"/>
      <c r="E985" s="453"/>
    </row>
    <row r="986" spans="3:5" ht="15">
      <c r="C986" s="453"/>
      <c r="D986" s="453"/>
      <c r="E986" s="453"/>
    </row>
    <row r="987" spans="3:5" ht="15">
      <c r="C987" s="453"/>
      <c r="D987" s="453"/>
      <c r="E987" s="453"/>
    </row>
    <row r="988" spans="3:5" ht="15">
      <c r="C988" s="453"/>
      <c r="D988" s="453"/>
      <c r="E988" s="453"/>
    </row>
    <row r="989" spans="3:5" ht="15">
      <c r="C989" s="453"/>
      <c r="D989" s="453"/>
      <c r="E989" s="453"/>
    </row>
    <row r="990" spans="3:5" ht="15">
      <c r="C990" s="453"/>
      <c r="D990" s="453"/>
      <c r="E990" s="453"/>
    </row>
    <row r="991" spans="3:5" ht="15">
      <c r="C991" s="453"/>
      <c r="D991" s="453"/>
      <c r="E991" s="453"/>
    </row>
    <row r="992" spans="3:5" ht="15">
      <c r="C992" s="453"/>
      <c r="D992" s="453"/>
      <c r="E992" s="453"/>
    </row>
    <row r="993" spans="3:5" ht="15">
      <c r="C993" s="453"/>
      <c r="D993" s="453"/>
      <c r="E993" s="453"/>
    </row>
    <row r="994" spans="3:5" ht="15">
      <c r="C994" s="453"/>
      <c r="D994" s="453"/>
      <c r="E994" s="453"/>
    </row>
    <row r="995" spans="3:5" ht="15">
      <c r="C995" s="453"/>
      <c r="D995" s="453"/>
      <c r="E995" s="453"/>
    </row>
    <row r="996" spans="3:5" ht="15">
      <c r="C996" s="453"/>
      <c r="D996" s="453"/>
      <c r="E996" s="453"/>
    </row>
    <row r="997" spans="3:5" ht="15">
      <c r="C997" s="453"/>
      <c r="D997" s="453"/>
      <c r="E997" s="453"/>
    </row>
    <row r="998" spans="3:5" ht="15">
      <c r="C998" s="453"/>
      <c r="D998" s="453"/>
      <c r="E998" s="453"/>
    </row>
    <row r="999" spans="3:5" ht="15">
      <c r="C999" s="453"/>
      <c r="D999" s="453"/>
      <c r="E999" s="453"/>
    </row>
    <row r="1000" spans="3:5" ht="15">
      <c r="C1000" s="453"/>
      <c r="D1000" s="453"/>
      <c r="E1000" s="453"/>
    </row>
    <row r="1001" spans="3:5" ht="15">
      <c r="C1001" s="453"/>
      <c r="D1001" s="453"/>
      <c r="E1001" s="453"/>
    </row>
    <row r="1002" spans="3:5" ht="15">
      <c r="C1002" s="453"/>
      <c r="D1002" s="453"/>
      <c r="E1002" s="453"/>
    </row>
    <row r="1003" spans="3:5" ht="15">
      <c r="C1003" s="453"/>
      <c r="D1003" s="453"/>
      <c r="E1003" s="453"/>
    </row>
    <row r="1004" spans="3:5" ht="15">
      <c r="C1004" s="453"/>
      <c r="D1004" s="453"/>
      <c r="E1004" s="453"/>
    </row>
    <row r="1005" spans="3:5" ht="15">
      <c r="C1005" s="453"/>
      <c r="D1005" s="453"/>
      <c r="E1005" s="453"/>
    </row>
    <row r="1006" spans="3:5" ht="15">
      <c r="C1006" s="453"/>
      <c r="D1006" s="453"/>
      <c r="E1006" s="453"/>
    </row>
    <row r="1007" spans="3:5" ht="15">
      <c r="C1007" s="453"/>
      <c r="D1007" s="453"/>
      <c r="E1007" s="453"/>
    </row>
    <row r="1008" spans="3:5" ht="15">
      <c r="C1008" s="453"/>
      <c r="D1008" s="453"/>
      <c r="E1008" s="453"/>
    </row>
    <row r="1009" spans="3:5" ht="15">
      <c r="C1009" s="453"/>
      <c r="D1009" s="453"/>
      <c r="E1009" s="453"/>
    </row>
    <row r="1010" spans="3:5" ht="15">
      <c r="C1010" s="453"/>
      <c r="D1010" s="453"/>
      <c r="E1010" s="453"/>
    </row>
    <row r="1011" spans="3:5" ht="15">
      <c r="C1011" s="453"/>
      <c r="D1011" s="453"/>
      <c r="E1011" s="453"/>
    </row>
    <row r="1012" spans="3:5" ht="15">
      <c r="C1012" s="453"/>
      <c r="D1012" s="453"/>
      <c r="E1012" s="453"/>
    </row>
    <row r="1013" spans="3:5" ht="15">
      <c r="C1013" s="453"/>
      <c r="D1013" s="453"/>
      <c r="E1013" s="453"/>
    </row>
    <row r="1014" spans="3:5" ht="15">
      <c r="C1014" s="453"/>
      <c r="D1014" s="453"/>
      <c r="E1014" s="453"/>
    </row>
    <row r="1015" spans="3:5" ht="15">
      <c r="C1015" s="453"/>
      <c r="D1015" s="453"/>
      <c r="E1015" s="453"/>
    </row>
    <row r="1016" spans="3:5" ht="15">
      <c r="C1016" s="453"/>
      <c r="D1016" s="453"/>
      <c r="E1016" s="453"/>
    </row>
    <row r="1017" spans="3:5" ht="15">
      <c r="C1017" s="453"/>
      <c r="D1017" s="453"/>
      <c r="E1017" s="453"/>
    </row>
    <row r="1018" spans="3:5" ht="15">
      <c r="C1018" s="453"/>
      <c r="D1018" s="453"/>
      <c r="E1018" s="453"/>
    </row>
    <row r="1019" spans="3:5" ht="15">
      <c r="C1019" s="453"/>
      <c r="D1019" s="453"/>
      <c r="E1019" s="453"/>
    </row>
    <row r="1020" spans="3:5" ht="15">
      <c r="C1020" s="453"/>
      <c r="D1020" s="453"/>
      <c r="E1020" s="453"/>
    </row>
    <row r="1021" spans="3:5" ht="15">
      <c r="C1021" s="453"/>
      <c r="D1021" s="453"/>
      <c r="E1021" s="453"/>
    </row>
    <row r="1022" spans="3:5" ht="15">
      <c r="C1022" s="453"/>
      <c r="D1022" s="453"/>
      <c r="E1022" s="453"/>
    </row>
    <row r="1023" spans="3:5" ht="15">
      <c r="C1023" s="453"/>
      <c r="D1023" s="453"/>
      <c r="E1023" s="453"/>
    </row>
    <row r="1024" spans="3:5" ht="15">
      <c r="C1024" s="453"/>
      <c r="D1024" s="453"/>
      <c r="E1024" s="453"/>
    </row>
    <row r="1025" spans="3:5" ht="15">
      <c r="C1025" s="453"/>
      <c r="D1025" s="453"/>
      <c r="E1025" s="453"/>
    </row>
    <row r="1026" spans="3:5" ht="15">
      <c r="C1026" s="453"/>
      <c r="D1026" s="453"/>
      <c r="E1026" s="453"/>
    </row>
    <row r="1027" spans="3:5" ht="15">
      <c r="C1027" s="453"/>
      <c r="D1027" s="453"/>
      <c r="E1027" s="453"/>
    </row>
    <row r="1028" spans="3:5" ht="15">
      <c r="C1028" s="453"/>
      <c r="D1028" s="453"/>
      <c r="E1028" s="453"/>
    </row>
    <row r="1029" spans="3:5" ht="15">
      <c r="C1029" s="453"/>
      <c r="D1029" s="453"/>
      <c r="E1029" s="453"/>
    </row>
    <row r="1030" spans="3:5" ht="15">
      <c r="C1030" s="453"/>
      <c r="D1030" s="453"/>
      <c r="E1030" s="453"/>
    </row>
    <row r="1031" spans="3:5" ht="15">
      <c r="C1031" s="453"/>
      <c r="D1031" s="453"/>
      <c r="E1031" s="453"/>
    </row>
    <row r="1032" spans="3:5" ht="15">
      <c r="C1032" s="453"/>
      <c r="D1032" s="453"/>
      <c r="E1032" s="453"/>
    </row>
    <row r="1033" spans="3:5" ht="15">
      <c r="C1033" s="453"/>
      <c r="D1033" s="453"/>
      <c r="E1033" s="453"/>
    </row>
    <row r="1034" spans="3:5" ht="15">
      <c r="C1034" s="453"/>
      <c r="D1034" s="453"/>
      <c r="E1034" s="453"/>
    </row>
    <row r="1035" spans="3:5" ht="15">
      <c r="C1035" s="453"/>
      <c r="D1035" s="453"/>
      <c r="E1035" s="453"/>
    </row>
    <row r="1036" spans="3:5" ht="15">
      <c r="C1036" s="453"/>
      <c r="D1036" s="453"/>
      <c r="E1036" s="453"/>
    </row>
    <row r="1037" spans="3:5" ht="15">
      <c r="C1037" s="453"/>
      <c r="D1037" s="453"/>
      <c r="E1037" s="453"/>
    </row>
    <row r="1038" spans="3:5" ht="15">
      <c r="C1038" s="453"/>
      <c r="D1038" s="453"/>
      <c r="E1038" s="453"/>
    </row>
    <row r="1039" spans="3:5" ht="15">
      <c r="C1039" s="453"/>
      <c r="D1039" s="453"/>
      <c r="E1039" s="453"/>
    </row>
    <row r="1040" spans="3:5" ht="15">
      <c r="C1040" s="453"/>
      <c r="D1040" s="453"/>
      <c r="E1040" s="453"/>
    </row>
    <row r="1041" spans="3:5" ht="15">
      <c r="C1041" s="453"/>
      <c r="D1041" s="453"/>
      <c r="E1041" s="453"/>
    </row>
    <row r="1042" spans="3:5" ht="15">
      <c r="C1042" s="453"/>
      <c r="D1042" s="453"/>
      <c r="E1042" s="453"/>
    </row>
    <row r="1043" spans="3:5" ht="15">
      <c r="C1043" s="453"/>
      <c r="D1043" s="453"/>
      <c r="E1043" s="453"/>
    </row>
    <row r="1044" spans="3:5" ht="15">
      <c r="C1044" s="453"/>
      <c r="D1044" s="453"/>
      <c r="E1044" s="453"/>
    </row>
    <row r="1045" spans="3:5" ht="15">
      <c r="C1045" s="453"/>
      <c r="D1045" s="453"/>
      <c r="E1045" s="453"/>
    </row>
    <row r="1046" spans="3:5" ht="15">
      <c r="C1046" s="453"/>
      <c r="D1046" s="453"/>
      <c r="E1046" s="453"/>
    </row>
    <row r="1047" spans="3:5" ht="15">
      <c r="C1047" s="453"/>
      <c r="D1047" s="453"/>
      <c r="E1047" s="453"/>
    </row>
    <row r="1048" spans="3:5" ht="15">
      <c r="C1048" s="453"/>
      <c r="D1048" s="453"/>
      <c r="E1048" s="453"/>
    </row>
    <row r="1049" spans="3:5" ht="15">
      <c r="C1049" s="453"/>
      <c r="D1049" s="453"/>
      <c r="E1049" s="453"/>
    </row>
    <row r="1050" spans="3:5" ht="15">
      <c r="C1050" s="453"/>
      <c r="D1050" s="453"/>
      <c r="E1050" s="453"/>
    </row>
    <row r="1051" spans="3:5" ht="15">
      <c r="C1051" s="453"/>
      <c r="D1051" s="453"/>
      <c r="E1051" s="453"/>
    </row>
    <row r="1052" spans="3:5" ht="15">
      <c r="C1052" s="453"/>
      <c r="D1052" s="453"/>
      <c r="E1052" s="453"/>
    </row>
    <row r="1053" spans="3:5" ht="15">
      <c r="C1053" s="453"/>
      <c r="D1053" s="453"/>
      <c r="E1053" s="453"/>
    </row>
    <row r="1054" spans="3:5" ht="15">
      <c r="C1054" s="453"/>
      <c r="D1054" s="453"/>
      <c r="E1054" s="453"/>
    </row>
    <row r="1055" spans="3:5" ht="15">
      <c r="C1055" s="453"/>
      <c r="D1055" s="453"/>
      <c r="E1055" s="453"/>
    </row>
    <row r="1056" spans="3:5" ht="15">
      <c r="C1056" s="453"/>
      <c r="D1056" s="453"/>
      <c r="E1056" s="453"/>
    </row>
    <row r="1057" spans="3:5" ht="15">
      <c r="C1057" s="453"/>
      <c r="D1057" s="453"/>
      <c r="E1057" s="453"/>
    </row>
    <row r="1058" spans="3:5" ht="15">
      <c r="C1058" s="453"/>
      <c r="D1058" s="453"/>
      <c r="E1058" s="453"/>
    </row>
    <row r="1059" spans="3:5" ht="15">
      <c r="C1059" s="453"/>
      <c r="D1059" s="453"/>
      <c r="E1059" s="453"/>
    </row>
    <row r="1060" spans="3:5" ht="15">
      <c r="C1060" s="453"/>
      <c r="D1060" s="453"/>
      <c r="E1060" s="453"/>
    </row>
    <row r="1061" spans="3:5" ht="15">
      <c r="C1061" s="453"/>
      <c r="D1061" s="453"/>
      <c r="E1061" s="453"/>
    </row>
    <row r="1062" spans="3:5" ht="15">
      <c r="C1062" s="453"/>
      <c r="D1062" s="453"/>
      <c r="E1062" s="453"/>
    </row>
    <row r="1063" spans="3:5" ht="15">
      <c r="C1063" s="453"/>
      <c r="D1063" s="453"/>
      <c r="E1063" s="453"/>
    </row>
    <row r="1064" spans="3:5" ht="15">
      <c r="C1064" s="453"/>
      <c r="D1064" s="453"/>
      <c r="E1064" s="453"/>
    </row>
    <row r="1065" spans="3:5" ht="15">
      <c r="C1065" s="453"/>
      <c r="D1065" s="453"/>
      <c r="E1065" s="453"/>
    </row>
    <row r="1066" spans="3:5" ht="15">
      <c r="C1066" s="453"/>
      <c r="D1066" s="453"/>
      <c r="E1066" s="453"/>
    </row>
    <row r="1067" spans="3:5" ht="15">
      <c r="C1067" s="453"/>
      <c r="D1067" s="453"/>
      <c r="E1067" s="453"/>
    </row>
    <row r="1068" spans="3:5" ht="15">
      <c r="C1068" s="453"/>
      <c r="D1068" s="453"/>
      <c r="E1068" s="453"/>
    </row>
    <row r="1069" spans="3:5" ht="15">
      <c r="C1069" s="453"/>
      <c r="D1069" s="453"/>
      <c r="E1069" s="453"/>
    </row>
    <row r="1070" spans="3:5" ht="15">
      <c r="C1070" s="453"/>
      <c r="D1070" s="453"/>
      <c r="E1070" s="453"/>
    </row>
    <row r="1071" spans="3:5" ht="15">
      <c r="C1071" s="453"/>
      <c r="D1071" s="453"/>
      <c r="E1071" s="453"/>
    </row>
    <row r="1072" spans="3:5" ht="15">
      <c r="C1072" s="453"/>
      <c r="D1072" s="453"/>
      <c r="E1072" s="453"/>
    </row>
    <row r="1073" spans="3:5" ht="15">
      <c r="C1073" s="453"/>
      <c r="D1073" s="453"/>
      <c r="E1073" s="453"/>
    </row>
    <row r="1074" spans="3:5" ht="15">
      <c r="C1074" s="453"/>
      <c r="D1074" s="453"/>
      <c r="E1074" s="453"/>
    </row>
    <row r="1075" spans="3:5" ht="15">
      <c r="C1075" s="453"/>
      <c r="D1075" s="453"/>
      <c r="E1075" s="453"/>
    </row>
    <row r="1076" spans="3:5" ht="15">
      <c r="C1076" s="453"/>
      <c r="D1076" s="453"/>
      <c r="E1076" s="453"/>
    </row>
    <row r="1077" spans="3:5" ht="15">
      <c r="C1077" s="453"/>
      <c r="D1077" s="453"/>
      <c r="E1077" s="453"/>
    </row>
    <row r="1078" spans="3:5" ht="15">
      <c r="C1078" s="453"/>
      <c r="D1078" s="453"/>
      <c r="E1078" s="453"/>
    </row>
    <row r="1079" spans="3:5" ht="15">
      <c r="C1079" s="453"/>
      <c r="D1079" s="453"/>
      <c r="E1079" s="453"/>
    </row>
    <row r="1080" spans="3:5" ht="15">
      <c r="C1080" s="453"/>
      <c r="D1080" s="453"/>
      <c r="E1080" s="453"/>
    </row>
    <row r="1081" spans="3:5" ht="15">
      <c r="C1081" s="453"/>
      <c r="D1081" s="453"/>
      <c r="E1081" s="453"/>
    </row>
    <row r="1082" spans="3:5" ht="15">
      <c r="C1082" s="453"/>
      <c r="D1082" s="453"/>
      <c r="E1082" s="453"/>
    </row>
    <row r="1083" spans="3:5" ht="15">
      <c r="C1083" s="453"/>
      <c r="D1083" s="453"/>
      <c r="E1083" s="453"/>
    </row>
    <row r="1084" spans="3:5" ht="15">
      <c r="C1084" s="453"/>
      <c r="D1084" s="453"/>
      <c r="E1084" s="453"/>
    </row>
    <row r="1085" spans="3:5" ht="15">
      <c r="C1085" s="453"/>
      <c r="D1085" s="453"/>
      <c r="E1085" s="453"/>
    </row>
    <row r="1086" spans="3:5" ht="15">
      <c r="C1086" s="453"/>
      <c r="D1086" s="453"/>
      <c r="E1086" s="453"/>
    </row>
    <row r="1087" spans="3:5" ht="15">
      <c r="C1087" s="453"/>
      <c r="D1087" s="453"/>
      <c r="E1087" s="453"/>
    </row>
    <row r="1088" spans="3:5" ht="15">
      <c r="C1088" s="453"/>
      <c r="D1088" s="453"/>
      <c r="E1088" s="453"/>
    </row>
    <row r="1089" spans="3:5" ht="15">
      <c r="C1089" s="453"/>
      <c r="D1089" s="453"/>
      <c r="E1089" s="453"/>
    </row>
    <row r="1090" spans="3:5" ht="15">
      <c r="C1090" s="453"/>
      <c r="D1090" s="453"/>
      <c r="E1090" s="453"/>
    </row>
    <row r="1091" spans="3:5" ht="15">
      <c r="C1091" s="453"/>
      <c r="D1091" s="453"/>
      <c r="E1091" s="453"/>
    </row>
    <row r="1092" spans="3:5" ht="15">
      <c r="C1092" s="453"/>
      <c r="D1092" s="453"/>
      <c r="E1092" s="453"/>
    </row>
    <row r="1093" spans="3:5" ht="15">
      <c r="C1093" s="453"/>
      <c r="D1093" s="453"/>
      <c r="E1093" s="453"/>
    </row>
    <row r="1094" spans="3:5" ht="15">
      <c r="C1094" s="453"/>
      <c r="D1094" s="453"/>
      <c r="E1094" s="453"/>
    </row>
    <row r="1095" spans="3:5" ht="15">
      <c r="C1095" s="453"/>
      <c r="D1095" s="453"/>
      <c r="E1095" s="453"/>
    </row>
    <row r="1096" spans="3:5" ht="15">
      <c r="C1096" s="453"/>
      <c r="D1096" s="453"/>
      <c r="E1096" s="453"/>
    </row>
    <row r="1097" spans="3:5" ht="15">
      <c r="C1097" s="453"/>
      <c r="D1097" s="453"/>
      <c r="E1097" s="453"/>
    </row>
    <row r="1098" spans="3:5" ht="15">
      <c r="C1098" s="453"/>
      <c r="D1098" s="453"/>
      <c r="E1098" s="453"/>
    </row>
    <row r="1099" spans="3:5" ht="15">
      <c r="C1099" s="453"/>
      <c r="D1099" s="453"/>
      <c r="E1099" s="453"/>
    </row>
    <row r="1100" spans="3:5" ht="15">
      <c r="C1100" s="453"/>
      <c r="D1100" s="453"/>
      <c r="E1100" s="453"/>
    </row>
    <row r="1101" spans="3:5" ht="15">
      <c r="C1101" s="453"/>
      <c r="D1101" s="453"/>
      <c r="E1101" s="453"/>
    </row>
    <row r="1102" spans="3:5" ht="15">
      <c r="C1102" s="453"/>
      <c r="D1102" s="453"/>
      <c r="E1102" s="453"/>
    </row>
    <row r="1103" spans="3:5" ht="15">
      <c r="C1103" s="453"/>
      <c r="D1103" s="453"/>
      <c r="E1103" s="453"/>
    </row>
    <row r="1104" spans="3:5" ht="15">
      <c r="C1104" s="453"/>
      <c r="D1104" s="453"/>
      <c r="E1104" s="453"/>
    </row>
    <row r="1105" spans="3:5" ht="15">
      <c r="C1105" s="453"/>
      <c r="D1105" s="453"/>
      <c r="E1105" s="453"/>
    </row>
    <row r="1106" spans="3:5" ht="15">
      <c r="C1106" s="453"/>
      <c r="D1106" s="453"/>
      <c r="E1106" s="453"/>
    </row>
    <row r="1107" spans="3:5" ht="15">
      <c r="C1107" s="453"/>
      <c r="D1107" s="453"/>
      <c r="E1107" s="453"/>
    </row>
    <row r="1108" spans="3:5" ht="15">
      <c r="C1108" s="453"/>
      <c r="D1108" s="453"/>
      <c r="E1108" s="453"/>
    </row>
    <row r="1109" spans="3:5" ht="15">
      <c r="C1109" s="453"/>
      <c r="D1109" s="453"/>
      <c r="E1109" s="453"/>
    </row>
    <row r="1110" spans="3:5" ht="15">
      <c r="C1110" s="453"/>
      <c r="D1110" s="453"/>
      <c r="E1110" s="453"/>
    </row>
    <row r="1111" spans="3:5" ht="15">
      <c r="C1111" s="453"/>
      <c r="D1111" s="453"/>
      <c r="E1111" s="453"/>
    </row>
    <row r="1112" spans="3:5" ht="15">
      <c r="C1112" s="453"/>
      <c r="D1112" s="453"/>
      <c r="E1112" s="453"/>
    </row>
    <row r="1113" spans="3:5" ht="15">
      <c r="C1113" s="453"/>
      <c r="D1113" s="453"/>
      <c r="E1113" s="453"/>
    </row>
    <row r="1114" spans="3:5" ht="15">
      <c r="C1114" s="453"/>
      <c r="D1114" s="453"/>
      <c r="E1114" s="453"/>
    </row>
    <row r="1115" spans="3:5" ht="15">
      <c r="C1115" s="453"/>
      <c r="D1115" s="453"/>
      <c r="E1115" s="453"/>
    </row>
    <row r="1116" spans="3:5" ht="15">
      <c r="C1116" s="453"/>
      <c r="D1116" s="453"/>
      <c r="E1116" s="453"/>
    </row>
    <row r="1117" spans="3:5" ht="15">
      <c r="C1117" s="453"/>
      <c r="D1117" s="453"/>
      <c r="E1117" s="453"/>
    </row>
    <row r="1118" spans="3:5" ht="15">
      <c r="C1118" s="453"/>
      <c r="D1118" s="453"/>
      <c r="E1118" s="453"/>
    </row>
    <row r="1119" spans="3:5" ht="15">
      <c r="C1119" s="453"/>
      <c r="D1119" s="453"/>
      <c r="E1119" s="453"/>
    </row>
    <row r="1120" spans="3:5" ht="15">
      <c r="C1120" s="453"/>
      <c r="D1120" s="453"/>
      <c r="E1120" s="453"/>
    </row>
    <row r="1121" spans="3:5" ht="15">
      <c r="C1121" s="453"/>
      <c r="D1121" s="453"/>
      <c r="E1121" s="453"/>
    </row>
    <row r="1122" spans="3:5" ht="15">
      <c r="C1122" s="453"/>
      <c r="D1122" s="453"/>
      <c r="E1122" s="453"/>
    </row>
    <row r="1123" spans="3:5" ht="15">
      <c r="C1123" s="453"/>
      <c r="D1123" s="453"/>
      <c r="E1123" s="453"/>
    </row>
    <row r="1124" spans="3:5" ht="15">
      <c r="C1124" s="453"/>
      <c r="D1124" s="453"/>
      <c r="E1124" s="453"/>
    </row>
    <row r="1125" spans="3:5" ht="15">
      <c r="C1125" s="453"/>
      <c r="D1125" s="453"/>
      <c r="E1125" s="453"/>
    </row>
    <row r="1126" spans="3:5" ht="15">
      <c r="C1126" s="453"/>
      <c r="D1126" s="453"/>
      <c r="E1126" s="453"/>
    </row>
    <row r="1127" spans="3:5" ht="15">
      <c r="C1127" s="453"/>
      <c r="D1127" s="453"/>
      <c r="E1127" s="453"/>
    </row>
    <row r="1128" spans="3:5" ht="15">
      <c r="C1128" s="453"/>
      <c r="D1128" s="453"/>
      <c r="E1128" s="453"/>
    </row>
    <row r="1129" spans="3:5" ht="15">
      <c r="C1129" s="453"/>
      <c r="D1129" s="453"/>
      <c r="E1129" s="453"/>
    </row>
    <row r="1130" spans="3:5" ht="15">
      <c r="C1130" s="453"/>
      <c r="D1130" s="453"/>
      <c r="E1130" s="453"/>
    </row>
    <row r="1131" spans="3:5" ht="15">
      <c r="C1131" s="453"/>
      <c r="D1131" s="453"/>
      <c r="E1131" s="453"/>
    </row>
    <row r="1132" spans="3:5" ht="15">
      <c r="C1132" s="453"/>
      <c r="D1132" s="453"/>
      <c r="E1132" s="453"/>
    </row>
    <row r="1133" spans="3:5" ht="15">
      <c r="C1133" s="453"/>
      <c r="D1133" s="453"/>
      <c r="E1133" s="453"/>
    </row>
    <row r="1134" spans="3:5" ht="15">
      <c r="C1134" s="453"/>
      <c r="D1134" s="453"/>
      <c r="E1134" s="453"/>
    </row>
    <row r="1135" spans="3:5" ht="15">
      <c r="C1135" s="453"/>
      <c r="D1135" s="453"/>
      <c r="E1135" s="453"/>
    </row>
    <row r="1136" spans="3:5" ht="15">
      <c r="C1136" s="453"/>
      <c r="D1136" s="453"/>
      <c r="E1136" s="453"/>
    </row>
    <row r="1137" spans="3:5" ht="15">
      <c r="C1137" s="453"/>
      <c r="D1137" s="453"/>
      <c r="E1137" s="453"/>
    </row>
    <row r="1138" spans="3:5" ht="15">
      <c r="C1138" s="453"/>
      <c r="D1138" s="453"/>
      <c r="E1138" s="453"/>
    </row>
    <row r="1139" spans="3:5" ht="15">
      <c r="C1139" s="453"/>
      <c r="D1139" s="453"/>
      <c r="E1139" s="453"/>
    </row>
    <row r="1140" spans="3:5" ht="15">
      <c r="C1140" s="453"/>
      <c r="D1140" s="453"/>
      <c r="E1140" s="453"/>
    </row>
    <row r="1141" spans="3:5" ht="15">
      <c r="C1141" s="453"/>
      <c r="D1141" s="453"/>
      <c r="E1141" s="453"/>
    </row>
    <row r="1142" spans="3:5" ht="15">
      <c r="C1142" s="453"/>
      <c r="D1142" s="453"/>
      <c r="E1142" s="453"/>
    </row>
    <row r="1143" spans="3:5" ht="15">
      <c r="C1143" s="453"/>
      <c r="D1143" s="453"/>
      <c r="E1143" s="453"/>
    </row>
    <row r="1144" spans="3:5" ht="15">
      <c r="C1144" s="453"/>
      <c r="D1144" s="453"/>
      <c r="E1144" s="453"/>
    </row>
    <row r="1145" spans="3:5" ht="15">
      <c r="C1145" s="453"/>
      <c r="D1145" s="453"/>
      <c r="E1145" s="453"/>
    </row>
    <row r="1146" spans="3:5" ht="15">
      <c r="C1146" s="453"/>
      <c r="D1146" s="453"/>
      <c r="E1146" s="453"/>
    </row>
    <row r="1147" spans="3:5" ht="15">
      <c r="C1147" s="453"/>
      <c r="D1147" s="453"/>
      <c r="E1147" s="453"/>
    </row>
    <row r="1148" spans="3:5" ht="15">
      <c r="C1148" s="453"/>
      <c r="D1148" s="453"/>
      <c r="E1148" s="453"/>
    </row>
    <row r="1149" spans="3:5" ht="15">
      <c r="C1149" s="453"/>
      <c r="D1149" s="453"/>
      <c r="E1149" s="453"/>
    </row>
    <row r="1150" spans="3:5" ht="15">
      <c r="C1150" s="453"/>
      <c r="D1150" s="453"/>
      <c r="E1150" s="453"/>
    </row>
    <row r="1151" spans="3:5" ht="15">
      <c r="C1151" s="453"/>
      <c r="D1151" s="453"/>
      <c r="E1151" s="453"/>
    </row>
    <row r="1152" spans="3:5" ht="15">
      <c r="C1152" s="453"/>
      <c r="D1152" s="453"/>
      <c r="E1152" s="453"/>
    </row>
    <row r="1153" spans="3:5" ht="15">
      <c r="C1153" s="453"/>
      <c r="D1153" s="453"/>
      <c r="E1153" s="453"/>
    </row>
    <row r="1154" spans="3:5" ht="15">
      <c r="C1154" s="453"/>
      <c r="D1154" s="453"/>
      <c r="E1154" s="453"/>
    </row>
    <row r="1155" spans="3:5" ht="15">
      <c r="C1155" s="453"/>
      <c r="D1155" s="453"/>
      <c r="E1155" s="453"/>
    </row>
    <row r="1156" spans="3:5" ht="15">
      <c r="C1156" s="453"/>
      <c r="D1156" s="453"/>
      <c r="E1156" s="453"/>
    </row>
    <row r="1157" spans="3:5" ht="15">
      <c r="C1157" s="453"/>
      <c r="D1157" s="453"/>
      <c r="E1157" s="453"/>
    </row>
    <row r="1158" spans="3:5" ht="15">
      <c r="C1158" s="453"/>
      <c r="D1158" s="453"/>
      <c r="E1158" s="453"/>
    </row>
    <row r="1159" spans="3:5" ht="15">
      <c r="C1159" s="453"/>
      <c r="D1159" s="453"/>
      <c r="E1159" s="453"/>
    </row>
    <row r="1160" spans="3:5" ht="15">
      <c r="C1160" s="453"/>
      <c r="D1160" s="453"/>
      <c r="E1160" s="453"/>
    </row>
    <row r="1161" spans="3:5" ht="15">
      <c r="C1161" s="453"/>
      <c r="D1161" s="453"/>
      <c r="E1161" s="453"/>
    </row>
    <row r="1162" spans="3:5" ht="15">
      <c r="C1162" s="453"/>
      <c r="D1162" s="453"/>
      <c r="E1162" s="453"/>
    </row>
    <row r="1163" spans="3:5" ht="15">
      <c r="C1163" s="453"/>
      <c r="D1163" s="453"/>
      <c r="E1163" s="453"/>
    </row>
    <row r="1164" spans="3:5" ht="15">
      <c r="C1164" s="453"/>
      <c r="D1164" s="453"/>
      <c r="E1164" s="453"/>
    </row>
    <row r="1165" spans="3:5" ht="15">
      <c r="C1165" s="453"/>
      <c r="D1165" s="453"/>
      <c r="E1165" s="453"/>
    </row>
    <row r="1166" spans="3:5" ht="15">
      <c r="C1166" s="453"/>
      <c r="D1166" s="453"/>
      <c r="E1166" s="453"/>
    </row>
    <row r="1167" spans="3:5" ht="15">
      <c r="C1167" s="453"/>
      <c r="D1167" s="453"/>
      <c r="E1167" s="453"/>
    </row>
    <row r="1168" spans="3:5" ht="15">
      <c r="C1168" s="453"/>
      <c r="D1168" s="453"/>
      <c r="E1168" s="453"/>
    </row>
    <row r="1169" spans="3:5" ht="15">
      <c r="C1169" s="453"/>
      <c r="D1169" s="453"/>
      <c r="E1169" s="453"/>
    </row>
    <row r="1170" spans="3:5" ht="15">
      <c r="C1170" s="453"/>
      <c r="D1170" s="453"/>
      <c r="E1170" s="453"/>
    </row>
    <row r="1171" spans="3:5" ht="15">
      <c r="C1171" s="453"/>
      <c r="D1171" s="453"/>
      <c r="E1171" s="453"/>
    </row>
    <row r="1172" spans="3:5" ht="15">
      <c r="C1172" s="453"/>
      <c r="D1172" s="453"/>
      <c r="E1172" s="453"/>
    </row>
    <row r="1173" spans="3:5" ht="15">
      <c r="C1173" s="453"/>
      <c r="D1173" s="453"/>
      <c r="E1173" s="453"/>
    </row>
    <row r="1174" spans="3:5" ht="15">
      <c r="C1174" s="453"/>
      <c r="D1174" s="453"/>
      <c r="E1174" s="453"/>
    </row>
    <row r="1175" spans="3:5" ht="15">
      <c r="C1175" s="453"/>
      <c r="D1175" s="453"/>
      <c r="E1175" s="453"/>
    </row>
    <row r="1176" spans="3:5" ht="15">
      <c r="C1176" s="453"/>
      <c r="D1176" s="453"/>
      <c r="E1176" s="453"/>
    </row>
    <row r="1177" spans="3:5" ht="15">
      <c r="C1177" s="453"/>
      <c r="D1177" s="453"/>
      <c r="E1177" s="453"/>
    </row>
    <row r="1178" spans="3:5" ht="15">
      <c r="C1178" s="453"/>
      <c r="D1178" s="453"/>
      <c r="E1178" s="453"/>
    </row>
    <row r="1179" spans="3:5" ht="15">
      <c r="C1179" s="453"/>
      <c r="D1179" s="453"/>
      <c r="E1179" s="453"/>
    </row>
    <row r="1180" spans="3:5" ht="15">
      <c r="C1180" s="453"/>
      <c r="D1180" s="453"/>
      <c r="E1180" s="453"/>
    </row>
    <row r="1181" spans="3:5" ht="15">
      <c r="C1181" s="453"/>
      <c r="D1181" s="453"/>
      <c r="E1181" s="453"/>
    </row>
    <row r="1182" spans="3:5" ht="15">
      <c r="C1182" s="453"/>
      <c r="D1182" s="453"/>
      <c r="E1182" s="453"/>
    </row>
    <row r="1183" spans="3:5" ht="15">
      <c r="C1183" s="453"/>
      <c r="D1183" s="453"/>
      <c r="E1183" s="453"/>
    </row>
    <row r="1184" spans="3:5" ht="15">
      <c r="C1184" s="453"/>
      <c r="D1184" s="453"/>
      <c r="E1184" s="453"/>
    </row>
    <row r="1185" spans="3:5" ht="15">
      <c r="C1185" s="453"/>
      <c r="D1185" s="453"/>
      <c r="E1185" s="453"/>
    </row>
    <row r="1186" spans="3:5" ht="15">
      <c r="C1186" s="453"/>
      <c r="D1186" s="453"/>
      <c r="E1186" s="453"/>
    </row>
    <row r="1187" spans="3:5" ht="15">
      <c r="C1187" s="453"/>
      <c r="D1187" s="453"/>
      <c r="E1187" s="453"/>
    </row>
    <row r="1188" spans="3:5" ht="15">
      <c r="C1188" s="453"/>
      <c r="D1188" s="453"/>
      <c r="E1188" s="453"/>
    </row>
    <row r="1189" spans="3:5" ht="15">
      <c r="C1189" s="453"/>
      <c r="D1189" s="453"/>
      <c r="E1189" s="453"/>
    </row>
    <row r="1190" spans="3:5" ht="15">
      <c r="C1190" s="453"/>
      <c r="D1190" s="453"/>
      <c r="E1190" s="453"/>
    </row>
    <row r="1191" spans="3:5" ht="15">
      <c r="C1191" s="453"/>
      <c r="D1191" s="453"/>
      <c r="E1191" s="453"/>
    </row>
    <row r="1192" spans="3:5" ht="15">
      <c r="C1192" s="453"/>
      <c r="D1192" s="453"/>
      <c r="E1192" s="453"/>
    </row>
    <row r="1193" spans="3:5" ht="15">
      <c r="C1193" s="453"/>
      <c r="D1193" s="453"/>
      <c r="E1193" s="453"/>
    </row>
    <row r="1194" spans="3:5" ht="15">
      <c r="C1194" s="453"/>
      <c r="D1194" s="453"/>
      <c r="E1194" s="453"/>
    </row>
    <row r="1195" spans="3:5" ht="15">
      <c r="C1195" s="453"/>
      <c r="D1195" s="453"/>
      <c r="E1195" s="453"/>
    </row>
    <row r="1196" spans="3:5" ht="15">
      <c r="C1196" s="453"/>
      <c r="D1196" s="453"/>
      <c r="E1196" s="453"/>
    </row>
    <row r="1197" spans="3:5" ht="15">
      <c r="C1197" s="453"/>
      <c r="D1197" s="453"/>
      <c r="E1197" s="453"/>
    </row>
    <row r="1198" spans="3:5" ht="15">
      <c r="C1198" s="453"/>
      <c r="D1198" s="453"/>
      <c r="E1198" s="453"/>
    </row>
    <row r="1199" spans="3:5" ht="15">
      <c r="C1199" s="453"/>
      <c r="D1199" s="453"/>
      <c r="E1199" s="453"/>
    </row>
    <row r="1200" spans="3:5" ht="15">
      <c r="C1200" s="453"/>
      <c r="D1200" s="453"/>
      <c r="E1200" s="453"/>
    </row>
    <row r="1201" spans="3:5" ht="15">
      <c r="C1201" s="453"/>
      <c r="D1201" s="453"/>
      <c r="E1201" s="453"/>
    </row>
    <row r="1202" spans="3:5" ht="15">
      <c r="C1202" s="453"/>
      <c r="D1202" s="453"/>
      <c r="E1202" s="453"/>
    </row>
    <row r="1203" spans="3:5" ht="15">
      <c r="C1203" s="453"/>
      <c r="D1203" s="453"/>
      <c r="E1203" s="453"/>
    </row>
    <row r="1204" spans="3:5" ht="15">
      <c r="C1204" s="453"/>
      <c r="D1204" s="453"/>
      <c r="E1204" s="453"/>
    </row>
    <row r="1205" spans="3:5" ht="15">
      <c r="C1205" s="453"/>
      <c r="D1205" s="453"/>
      <c r="E1205" s="453"/>
    </row>
    <row r="1206" spans="3:5" ht="15">
      <c r="C1206" s="453"/>
      <c r="D1206" s="453"/>
      <c r="E1206" s="453"/>
    </row>
    <row r="1207" spans="3:5" ht="15">
      <c r="C1207" s="453"/>
      <c r="D1207" s="453"/>
      <c r="E1207" s="453"/>
    </row>
    <row r="1208" spans="3:5" ht="15">
      <c r="C1208" s="453"/>
      <c r="D1208" s="453"/>
      <c r="E1208" s="453"/>
    </row>
    <row r="1209" spans="3:5" ht="15">
      <c r="C1209" s="453"/>
      <c r="D1209" s="453"/>
      <c r="E1209" s="453"/>
    </row>
    <row r="1210" spans="3:5" ht="15">
      <c r="C1210" s="453"/>
      <c r="D1210" s="453"/>
      <c r="E1210" s="453"/>
    </row>
    <row r="1211" spans="3:5" ht="15">
      <c r="C1211" s="453"/>
      <c r="D1211" s="453"/>
      <c r="E1211" s="453"/>
    </row>
    <row r="1212" spans="3:5" ht="15">
      <c r="C1212" s="453"/>
      <c r="D1212" s="453"/>
      <c r="E1212" s="453"/>
    </row>
    <row r="1213" spans="3:5" ht="15">
      <c r="C1213" s="453"/>
      <c r="D1213" s="453"/>
      <c r="E1213" s="453"/>
    </row>
    <row r="1214" spans="3:5" ht="15">
      <c r="C1214" s="453"/>
      <c r="D1214" s="453"/>
      <c r="E1214" s="453"/>
    </row>
    <row r="1215" spans="3:5" ht="15">
      <c r="C1215" s="453"/>
      <c r="D1215" s="453"/>
      <c r="E1215" s="453"/>
    </row>
    <row r="1216" spans="3:5" ht="15">
      <c r="C1216" s="453"/>
      <c r="D1216" s="453"/>
      <c r="E1216" s="453"/>
    </row>
    <row r="1217" spans="3:5" ht="15">
      <c r="C1217" s="453"/>
      <c r="D1217" s="453"/>
      <c r="E1217" s="453"/>
    </row>
    <row r="1218" spans="3:5" ht="15">
      <c r="C1218" s="453"/>
      <c r="D1218" s="453"/>
      <c r="E1218" s="453"/>
    </row>
    <row r="1219" spans="3:5" ht="15">
      <c r="C1219" s="453"/>
      <c r="D1219" s="453"/>
      <c r="E1219" s="453"/>
    </row>
    <row r="1220" spans="3:5" ht="15">
      <c r="C1220" s="453"/>
      <c r="D1220" s="453"/>
      <c r="E1220" s="453"/>
    </row>
    <row r="1221" spans="3:5" ht="15">
      <c r="C1221" s="453"/>
      <c r="D1221" s="453"/>
      <c r="E1221" s="453"/>
    </row>
    <row r="1222" spans="3:5" ht="15">
      <c r="C1222" s="453"/>
      <c r="D1222" s="453"/>
      <c r="E1222" s="453"/>
    </row>
    <row r="1223" spans="3:5" ht="15">
      <c r="C1223" s="453"/>
      <c r="D1223" s="453"/>
      <c r="E1223" s="453"/>
    </row>
    <row r="1224" spans="3:5" ht="15">
      <c r="C1224" s="453"/>
      <c r="D1224" s="453"/>
      <c r="E1224" s="453"/>
    </row>
    <row r="1225" spans="3:5" ht="15">
      <c r="C1225" s="453"/>
      <c r="D1225" s="453"/>
      <c r="E1225" s="453"/>
    </row>
    <row r="1226" spans="3:5" ht="15">
      <c r="C1226" s="453"/>
      <c r="D1226" s="453"/>
      <c r="E1226" s="453"/>
    </row>
    <row r="1227" spans="3:5" ht="15">
      <c r="C1227" s="453"/>
      <c r="D1227" s="453"/>
      <c r="E1227" s="453"/>
    </row>
    <row r="1228" spans="3:5" ht="15">
      <c r="C1228" s="453"/>
      <c r="D1228" s="453"/>
      <c r="E1228" s="453"/>
    </row>
    <row r="1229" spans="3:5" ht="15">
      <c r="C1229" s="453"/>
      <c r="D1229" s="453"/>
      <c r="E1229" s="453"/>
    </row>
    <row r="1230" spans="3:5" ht="15">
      <c r="C1230" s="453"/>
      <c r="D1230" s="453"/>
      <c r="E1230" s="453"/>
    </row>
    <row r="1231" spans="3:5" ht="15">
      <c r="C1231" s="453"/>
      <c r="D1231" s="453"/>
      <c r="E1231" s="453"/>
    </row>
    <row r="1232" spans="3:5" ht="15">
      <c r="C1232" s="453"/>
      <c r="D1232" s="453"/>
      <c r="E1232" s="453"/>
    </row>
    <row r="1233" spans="3:5" ht="15">
      <c r="C1233" s="453"/>
      <c r="D1233" s="453"/>
      <c r="E1233" s="453"/>
    </row>
    <row r="1234" spans="3:5" ht="15">
      <c r="C1234" s="453"/>
      <c r="D1234" s="453"/>
      <c r="E1234" s="453"/>
    </row>
    <row r="1235" spans="3:5" ht="15">
      <c r="C1235" s="453"/>
      <c r="D1235" s="453"/>
      <c r="E1235" s="453"/>
    </row>
    <row r="1236" spans="3:5" ht="15">
      <c r="C1236" s="453"/>
      <c r="D1236" s="453"/>
      <c r="E1236" s="453"/>
    </row>
    <row r="1237" spans="3:5" ht="15">
      <c r="C1237" s="453"/>
      <c r="D1237" s="453"/>
      <c r="E1237" s="453"/>
    </row>
    <row r="1238" spans="3:5" ht="15">
      <c r="C1238" s="453"/>
      <c r="D1238" s="453"/>
      <c r="E1238" s="453"/>
    </row>
    <row r="1239" spans="3:5" ht="15">
      <c r="C1239" s="453"/>
      <c r="D1239" s="453"/>
      <c r="E1239" s="453"/>
    </row>
    <row r="1240" spans="3:5" ht="15">
      <c r="C1240" s="453"/>
      <c r="D1240" s="453"/>
      <c r="E1240" s="453"/>
    </row>
    <row r="1241" spans="3:5" ht="15">
      <c r="C1241" s="453"/>
      <c r="D1241" s="453"/>
      <c r="E1241" s="453"/>
    </row>
    <row r="1242" spans="3:5" ht="15">
      <c r="C1242" s="453"/>
      <c r="D1242" s="453"/>
      <c r="E1242" s="453"/>
    </row>
    <row r="1243" spans="3:5" ht="15">
      <c r="C1243" s="453"/>
      <c r="D1243" s="453"/>
      <c r="E1243" s="453"/>
    </row>
    <row r="1244" spans="3:5" ht="15">
      <c r="C1244" s="453"/>
      <c r="D1244" s="453"/>
      <c r="E1244" s="453"/>
    </row>
    <row r="1245" spans="3:5" ht="15">
      <c r="C1245" s="453"/>
      <c r="D1245" s="453"/>
      <c r="E1245" s="453"/>
    </row>
    <row r="1246" spans="3:5" ht="15">
      <c r="C1246" s="453"/>
      <c r="D1246" s="453"/>
      <c r="E1246" s="453"/>
    </row>
    <row r="1247" spans="3:5" ht="15">
      <c r="C1247" s="453"/>
      <c r="D1247" s="453"/>
      <c r="E1247" s="453"/>
    </row>
    <row r="1248" spans="3:5" ht="15">
      <c r="C1248" s="453"/>
      <c r="D1248" s="453"/>
      <c r="E1248" s="453"/>
    </row>
    <row r="1249" spans="3:5" ht="15">
      <c r="C1249" s="453"/>
      <c r="D1249" s="453"/>
      <c r="E1249" s="453"/>
    </row>
    <row r="1250" spans="3:5" ht="15">
      <c r="C1250" s="453"/>
      <c r="D1250" s="453"/>
      <c r="E1250" s="453"/>
    </row>
    <row r="1251" spans="3:5" ht="15">
      <c r="C1251" s="453"/>
      <c r="D1251" s="453"/>
      <c r="E1251" s="453"/>
    </row>
    <row r="1252" spans="3:5" ht="15">
      <c r="C1252" s="453"/>
      <c r="D1252" s="453"/>
      <c r="E1252" s="453"/>
    </row>
    <row r="1253" spans="3:5" ht="15">
      <c r="C1253" s="453"/>
      <c r="D1253" s="453"/>
      <c r="E1253" s="453"/>
    </row>
    <row r="1254" spans="3:5" ht="15">
      <c r="C1254" s="453"/>
      <c r="D1254" s="453"/>
      <c r="E1254" s="453"/>
    </row>
    <row r="1255" spans="3:5" ht="15">
      <c r="C1255" s="453"/>
      <c r="D1255" s="453"/>
      <c r="E1255" s="453"/>
    </row>
    <row r="1256" spans="3:5" ht="15">
      <c r="C1256" s="453"/>
      <c r="D1256" s="453"/>
      <c r="E1256" s="453"/>
    </row>
    <row r="1257" spans="3:5" ht="15">
      <c r="C1257" s="453"/>
      <c r="D1257" s="453"/>
      <c r="E1257" s="453"/>
    </row>
    <row r="1258" spans="3:5" ht="15">
      <c r="C1258" s="453"/>
      <c r="D1258" s="453"/>
      <c r="E1258" s="453"/>
    </row>
    <row r="1259" spans="3:5" ht="15">
      <c r="C1259" s="453"/>
      <c r="D1259" s="453"/>
      <c r="E1259" s="453"/>
    </row>
    <row r="1260" spans="3:5" ht="15">
      <c r="C1260" s="453"/>
      <c r="D1260" s="453"/>
      <c r="E1260" s="453"/>
    </row>
    <row r="1261" spans="3:5" ht="15">
      <c r="C1261" s="453"/>
      <c r="D1261" s="453"/>
      <c r="E1261" s="453"/>
    </row>
    <row r="1262" spans="3:5" ht="15">
      <c r="C1262" s="453"/>
      <c r="D1262" s="453"/>
      <c r="E1262" s="453"/>
    </row>
    <row r="1263" spans="3:5" ht="15">
      <c r="C1263" s="453"/>
      <c r="D1263" s="453"/>
      <c r="E1263" s="453"/>
    </row>
    <row r="1264" spans="3:5" ht="15">
      <c r="C1264" s="453"/>
      <c r="D1264" s="453"/>
      <c r="E1264" s="453"/>
    </row>
    <row r="1265" spans="3:5" ht="15">
      <c r="C1265" s="453"/>
      <c r="D1265" s="453"/>
      <c r="E1265" s="453"/>
    </row>
    <row r="1266" spans="3:5" ht="15">
      <c r="C1266" s="453"/>
      <c r="D1266" s="453"/>
      <c r="E1266" s="453"/>
    </row>
    <row r="1267" spans="3:5" ht="15">
      <c r="C1267" s="453"/>
      <c r="D1267" s="453"/>
      <c r="E1267" s="453"/>
    </row>
    <row r="1268" spans="3:5" ht="15">
      <c r="C1268" s="453"/>
      <c r="D1268" s="453"/>
      <c r="E1268" s="453"/>
    </row>
    <row r="1269" spans="3:5" ht="15">
      <c r="C1269" s="453"/>
      <c r="D1269" s="453"/>
      <c r="E1269" s="453"/>
    </row>
    <row r="1270" spans="3:5" ht="15">
      <c r="C1270" s="453"/>
      <c r="D1270" s="453"/>
      <c r="E1270" s="453"/>
    </row>
    <row r="1271" spans="3:5" ht="15">
      <c r="C1271" s="453"/>
      <c r="D1271" s="453"/>
      <c r="E1271" s="453"/>
    </row>
    <row r="1272" spans="3:5" ht="15">
      <c r="C1272" s="453"/>
      <c r="D1272" s="453"/>
      <c r="E1272" s="453"/>
    </row>
    <row r="1273" spans="3:5" ht="15">
      <c r="C1273" s="453"/>
      <c r="D1273" s="453"/>
      <c r="E1273" s="453"/>
    </row>
    <row r="1274" spans="3:5" ht="15">
      <c r="C1274" s="453"/>
      <c r="D1274" s="453"/>
      <c r="E1274" s="453"/>
    </row>
    <row r="1275" spans="3:5" ht="15">
      <c r="C1275" s="453"/>
      <c r="D1275" s="453"/>
      <c r="E1275" s="453"/>
    </row>
    <row r="1276" spans="3:5" ht="15">
      <c r="C1276" s="453"/>
      <c r="D1276" s="453"/>
      <c r="E1276" s="453"/>
    </row>
    <row r="1277" spans="3:5" ht="15">
      <c r="C1277" s="453"/>
      <c r="D1277" s="453"/>
      <c r="E1277" s="453"/>
    </row>
    <row r="1278" spans="3:5" ht="15">
      <c r="C1278" s="453"/>
      <c r="D1278" s="453"/>
      <c r="E1278" s="453"/>
    </row>
    <row r="1279" spans="3:5" ht="15">
      <c r="C1279" s="453"/>
      <c r="D1279" s="453"/>
      <c r="E1279" s="453"/>
    </row>
    <row r="1280" spans="3:5" ht="15">
      <c r="C1280" s="453"/>
      <c r="D1280" s="453"/>
      <c r="E1280" s="453"/>
    </row>
    <row r="1281" spans="3:5" ht="15">
      <c r="C1281" s="453"/>
      <c r="D1281" s="453"/>
      <c r="E1281" s="453"/>
    </row>
    <row r="1282" spans="3:5" ht="15">
      <c r="C1282" s="453"/>
      <c r="D1282" s="453"/>
      <c r="E1282" s="453"/>
    </row>
    <row r="1283" spans="3:5" ht="15">
      <c r="C1283" s="453"/>
      <c r="D1283" s="453"/>
      <c r="E1283" s="453"/>
    </row>
    <row r="1284" spans="3:5" ht="15">
      <c r="C1284" s="453"/>
      <c r="D1284" s="453"/>
      <c r="E1284" s="453"/>
    </row>
    <row r="1285" spans="3:5" ht="15">
      <c r="C1285" s="453"/>
      <c r="D1285" s="453"/>
      <c r="E1285" s="453"/>
    </row>
    <row r="1286" spans="3:5" ht="15">
      <c r="C1286" s="453"/>
      <c r="D1286" s="453"/>
      <c r="E1286" s="453"/>
    </row>
    <row r="1287" spans="3:5" ht="15">
      <c r="C1287" s="453"/>
      <c r="D1287" s="453"/>
      <c r="E1287" s="453"/>
    </row>
    <row r="1288" spans="3:5" ht="15">
      <c r="C1288" s="453"/>
      <c r="D1288" s="453"/>
      <c r="E1288" s="453"/>
    </row>
    <row r="1289" spans="3:5" ht="15">
      <c r="C1289" s="453"/>
      <c r="D1289" s="453"/>
      <c r="E1289" s="453"/>
    </row>
    <row r="1290" spans="3:5" ht="15">
      <c r="C1290" s="453"/>
      <c r="D1290" s="453"/>
      <c r="E1290" s="453"/>
    </row>
    <row r="1291" spans="3:5" ht="15">
      <c r="C1291" s="453"/>
      <c r="D1291" s="453"/>
      <c r="E1291" s="453"/>
    </row>
    <row r="1292" spans="3:5" ht="15">
      <c r="C1292" s="453"/>
      <c r="D1292" s="453"/>
      <c r="E1292" s="453"/>
    </row>
    <row r="1293" spans="3:5" ht="15">
      <c r="C1293" s="453"/>
      <c r="D1293" s="453"/>
      <c r="E1293" s="453"/>
    </row>
    <row r="1294" spans="3:5" ht="15">
      <c r="C1294" s="453"/>
      <c r="D1294" s="453"/>
      <c r="E1294" s="453"/>
    </row>
    <row r="1295" spans="3:5" ht="15">
      <c r="C1295" s="453"/>
      <c r="D1295" s="453"/>
      <c r="E1295" s="453"/>
    </row>
    <row r="1296" spans="3:5" ht="15">
      <c r="C1296" s="453"/>
      <c r="D1296" s="453"/>
      <c r="E1296" s="453"/>
    </row>
    <row r="1297" spans="3:5" ht="15">
      <c r="C1297" s="453"/>
      <c r="D1297" s="453"/>
      <c r="E1297" s="453"/>
    </row>
    <row r="1298" spans="3:5" ht="15">
      <c r="C1298" s="453"/>
      <c r="D1298" s="453"/>
      <c r="E1298" s="453"/>
    </row>
    <row r="1299" spans="3:5" ht="15">
      <c r="C1299" s="453"/>
      <c r="D1299" s="453"/>
      <c r="E1299" s="453"/>
    </row>
    <row r="1300" spans="3:5" ht="15">
      <c r="C1300" s="453"/>
      <c r="D1300" s="453"/>
      <c r="E1300" s="453"/>
    </row>
    <row r="1301" spans="3:5" ht="15">
      <c r="C1301" s="453"/>
      <c r="D1301" s="453"/>
      <c r="E1301" s="453"/>
    </row>
    <row r="1302" spans="3:5" ht="15">
      <c r="C1302" s="453"/>
      <c r="D1302" s="453"/>
      <c r="E1302" s="453"/>
    </row>
    <row r="1303" spans="3:5" ht="15">
      <c r="C1303" s="453"/>
      <c r="D1303" s="453"/>
      <c r="E1303" s="453"/>
    </row>
    <row r="1304" spans="3:5" ht="15">
      <c r="C1304" s="453"/>
      <c r="D1304" s="453"/>
      <c r="E1304" s="453"/>
    </row>
    <row r="1305" spans="3:5" ht="15">
      <c r="C1305" s="453"/>
      <c r="D1305" s="453"/>
      <c r="E1305" s="453"/>
    </row>
    <row r="1306" spans="3:5" ht="15">
      <c r="C1306" s="453"/>
      <c r="D1306" s="453"/>
      <c r="E1306" s="453"/>
    </row>
    <row r="1307" spans="3:5" ht="15">
      <c r="C1307" s="453"/>
      <c r="D1307" s="453"/>
      <c r="E1307" s="453"/>
    </row>
    <row r="1308" spans="3:5" ht="15">
      <c r="C1308" s="453"/>
      <c r="D1308" s="453"/>
      <c r="E1308" s="453"/>
    </row>
    <row r="1309" spans="3:5" ht="15">
      <c r="C1309" s="453"/>
      <c r="D1309" s="453"/>
      <c r="E1309" s="453"/>
    </row>
    <row r="1310" spans="3:5" ht="15">
      <c r="C1310" s="453"/>
      <c r="D1310" s="453"/>
      <c r="E1310" s="453"/>
    </row>
    <row r="1311" spans="3:5" ht="15">
      <c r="C1311" s="453"/>
      <c r="D1311" s="453"/>
      <c r="E1311" s="453"/>
    </row>
    <row r="1312" spans="3:5" ht="15">
      <c r="C1312" s="453"/>
      <c r="D1312" s="453"/>
      <c r="E1312" s="453"/>
    </row>
    <row r="1313" spans="3:5" ht="15">
      <c r="C1313" s="453"/>
      <c r="D1313" s="453"/>
      <c r="E1313" s="453"/>
    </row>
    <row r="1314" spans="3:5" ht="15">
      <c r="C1314" s="453"/>
      <c r="D1314" s="453"/>
      <c r="E1314" s="453"/>
    </row>
    <row r="1315" spans="3:5" ht="15">
      <c r="C1315" s="453"/>
      <c r="D1315" s="453"/>
      <c r="E1315" s="453"/>
    </row>
    <row r="1316" spans="3:5" ht="15">
      <c r="C1316" s="453"/>
      <c r="D1316" s="453"/>
      <c r="E1316" s="453"/>
    </row>
    <row r="1317" spans="3:5" ht="15">
      <c r="C1317" s="453"/>
      <c r="D1317" s="453"/>
      <c r="E1317" s="453"/>
    </row>
    <row r="1318" spans="3:5" ht="15">
      <c r="C1318" s="453"/>
      <c r="D1318" s="453"/>
      <c r="E1318" s="453"/>
    </row>
    <row r="1319" spans="3:5" ht="15">
      <c r="C1319" s="453"/>
      <c r="D1319" s="453"/>
      <c r="E1319" s="453"/>
    </row>
    <row r="1320" spans="3:5" ht="15">
      <c r="C1320" s="453"/>
      <c r="D1320" s="453"/>
      <c r="E1320" s="453"/>
    </row>
    <row r="1321" spans="3:5" ht="15">
      <c r="C1321" s="453"/>
      <c r="D1321" s="453"/>
      <c r="E1321" s="453"/>
    </row>
    <row r="1322" spans="3:5" ht="15">
      <c r="C1322" s="453"/>
      <c r="D1322" s="453"/>
      <c r="E1322" s="453"/>
    </row>
    <row r="1323" spans="3:5" ht="15">
      <c r="C1323" s="453"/>
      <c r="D1323" s="453"/>
      <c r="E1323" s="453"/>
    </row>
    <row r="1324" spans="3:5" ht="15">
      <c r="C1324" s="453"/>
      <c r="D1324" s="453"/>
      <c r="E1324" s="453"/>
    </row>
    <row r="1325" spans="3:5" ht="15">
      <c r="C1325" s="453"/>
      <c r="D1325" s="453"/>
      <c r="E1325" s="453"/>
    </row>
    <row r="1326" spans="3:5" ht="15">
      <c r="C1326" s="453"/>
      <c r="D1326" s="453"/>
      <c r="E1326" s="453"/>
    </row>
    <row r="1327" spans="3:5" ht="15">
      <c r="C1327" s="453"/>
      <c r="D1327" s="453"/>
      <c r="E1327" s="453"/>
    </row>
    <row r="1328" spans="3:5" ht="15">
      <c r="C1328" s="453"/>
      <c r="D1328" s="453"/>
      <c r="E1328" s="453"/>
    </row>
    <row r="1329" spans="3:5" ht="15">
      <c r="C1329" s="453"/>
      <c r="D1329" s="453"/>
      <c r="E1329" s="453"/>
    </row>
    <row r="1330" spans="3:5" ht="15">
      <c r="C1330" s="453"/>
      <c r="D1330" s="453"/>
      <c r="E1330" s="453"/>
    </row>
    <row r="1331" spans="3:5" ht="15">
      <c r="C1331" s="453"/>
      <c r="D1331" s="453"/>
      <c r="E1331" s="453"/>
    </row>
    <row r="1332" spans="3:5" ht="15">
      <c r="C1332" s="453"/>
      <c r="D1332" s="453"/>
      <c r="E1332" s="453"/>
    </row>
    <row r="1333" spans="3:5" ht="15">
      <c r="C1333" s="453"/>
      <c r="D1333" s="453"/>
      <c r="E1333" s="453"/>
    </row>
    <row r="1334" spans="3:5" ht="15">
      <c r="C1334" s="453"/>
      <c r="D1334" s="453"/>
      <c r="E1334" s="453"/>
    </row>
    <row r="1335" spans="3:5" ht="15">
      <c r="C1335" s="453"/>
      <c r="D1335" s="453"/>
      <c r="E1335" s="453"/>
    </row>
    <row r="1336" spans="3:5" ht="15">
      <c r="C1336" s="453"/>
      <c r="D1336" s="453"/>
      <c r="E1336" s="453"/>
    </row>
    <row r="1337" spans="3:5" ht="15">
      <c r="C1337" s="453"/>
      <c r="D1337" s="453"/>
      <c r="E1337" s="453"/>
    </row>
    <row r="1338" spans="3:5" ht="15">
      <c r="C1338" s="453"/>
      <c r="D1338" s="453"/>
      <c r="E1338" s="453"/>
    </row>
    <row r="1339" spans="3:5" ht="15">
      <c r="C1339" s="453"/>
      <c r="D1339" s="453"/>
      <c r="E1339" s="453"/>
    </row>
    <row r="1340" spans="3:5" ht="15">
      <c r="C1340" s="453"/>
      <c r="D1340" s="453"/>
      <c r="E1340" s="453"/>
    </row>
    <row r="1341" spans="3:5" ht="15">
      <c r="C1341" s="453"/>
      <c r="D1341" s="453"/>
      <c r="E1341" s="453"/>
    </row>
    <row r="1342" spans="3:5" ht="15">
      <c r="C1342" s="453"/>
      <c r="D1342" s="453"/>
      <c r="E1342" s="453"/>
    </row>
    <row r="1343" spans="3:5" ht="15">
      <c r="C1343" s="453"/>
      <c r="D1343" s="453"/>
      <c r="E1343" s="453"/>
    </row>
    <row r="1344" spans="3:5" ht="15">
      <c r="C1344" s="453"/>
      <c r="D1344" s="453"/>
      <c r="E1344" s="453"/>
    </row>
    <row r="1345" spans="3:5" ht="15">
      <c r="C1345" s="453"/>
      <c r="D1345" s="453"/>
      <c r="E1345" s="453"/>
    </row>
    <row r="1346" spans="3:5" ht="15">
      <c r="C1346" s="453"/>
      <c r="D1346" s="453"/>
      <c r="E1346" s="453"/>
    </row>
    <row r="1347" spans="3:5" ht="15">
      <c r="C1347" s="453"/>
      <c r="D1347" s="453"/>
      <c r="E1347" s="453"/>
    </row>
    <row r="1348" spans="3:5" ht="15">
      <c r="C1348" s="453"/>
      <c r="D1348" s="453"/>
      <c r="E1348" s="453"/>
    </row>
    <row r="1349" spans="3:5" ht="15">
      <c r="C1349" s="453"/>
      <c r="D1349" s="453"/>
      <c r="E1349" s="453"/>
    </row>
    <row r="1350" spans="3:5" ht="15">
      <c r="C1350" s="453"/>
      <c r="D1350" s="453"/>
      <c r="E1350" s="453"/>
    </row>
    <row r="1351" spans="3:5" ht="15">
      <c r="C1351" s="453"/>
      <c r="D1351" s="453"/>
      <c r="E1351" s="453"/>
    </row>
    <row r="1352" spans="3:5" ht="15">
      <c r="C1352" s="453"/>
      <c r="D1352" s="453"/>
      <c r="E1352" s="453"/>
    </row>
    <row r="1353" spans="3:5" ht="15">
      <c r="C1353" s="453"/>
      <c r="D1353" s="453"/>
      <c r="E1353" s="453"/>
    </row>
    <row r="1354" spans="3:5" ht="15">
      <c r="C1354" s="453"/>
      <c r="D1354" s="453"/>
      <c r="E1354" s="453"/>
    </row>
    <row r="1355" spans="3:5" ht="15">
      <c r="C1355" s="453"/>
      <c r="D1355" s="453"/>
      <c r="E1355" s="453"/>
    </row>
    <row r="1356" spans="3:5" ht="15">
      <c r="C1356" s="453"/>
      <c r="D1356" s="453"/>
      <c r="E1356" s="453"/>
    </row>
    <row r="1357" spans="3:5" ht="15">
      <c r="C1357" s="453"/>
      <c r="D1357" s="453"/>
      <c r="E1357" s="453"/>
    </row>
    <row r="1358" spans="3:5" ht="15">
      <c r="C1358" s="453"/>
      <c r="D1358" s="453"/>
      <c r="E1358" s="453"/>
    </row>
    <row r="1359" spans="3:5" ht="15">
      <c r="C1359" s="453"/>
      <c r="D1359" s="453"/>
      <c r="E1359" s="453"/>
    </row>
    <row r="1360" spans="3:5" ht="15">
      <c r="C1360" s="453"/>
      <c r="D1360" s="453"/>
      <c r="E1360" s="453"/>
    </row>
    <row r="1361" spans="3:5" ht="15">
      <c r="C1361" s="453"/>
      <c r="D1361" s="453"/>
      <c r="E1361" s="453"/>
    </row>
    <row r="1362" spans="3:5" ht="15">
      <c r="C1362" s="453"/>
      <c r="D1362" s="453"/>
      <c r="E1362" s="453"/>
    </row>
    <row r="1363" spans="3:5" ht="15">
      <c r="C1363" s="453"/>
      <c r="D1363" s="453"/>
      <c r="E1363" s="453"/>
    </row>
    <row r="1364" spans="3:5" ht="15">
      <c r="C1364" s="453"/>
      <c r="D1364" s="453"/>
      <c r="E1364" s="453"/>
    </row>
    <row r="1365" spans="3:5" ht="15">
      <c r="C1365" s="453"/>
      <c r="D1365" s="453"/>
      <c r="E1365" s="453"/>
    </row>
    <row r="1366" spans="3:5" ht="15">
      <c r="C1366" s="453"/>
      <c r="D1366" s="453"/>
      <c r="E1366" s="453"/>
    </row>
    <row r="1367" spans="3:5" ht="15">
      <c r="C1367" s="453"/>
      <c r="D1367" s="453"/>
      <c r="E1367" s="453"/>
    </row>
    <row r="1368" spans="3:5" ht="15">
      <c r="C1368" s="453"/>
      <c r="D1368" s="453"/>
      <c r="E1368" s="453"/>
    </row>
    <row r="1369" spans="3:5" ht="15">
      <c r="C1369" s="453"/>
      <c r="D1369" s="453"/>
      <c r="E1369" s="453"/>
    </row>
    <row r="1370" spans="3:5" ht="15">
      <c r="C1370" s="453"/>
      <c r="D1370" s="453"/>
      <c r="E1370" s="453"/>
    </row>
    <row r="1371" spans="3:5" ht="15">
      <c r="C1371" s="453"/>
      <c r="D1371" s="453"/>
      <c r="E1371" s="453"/>
    </row>
    <row r="1372" spans="3:5" ht="15">
      <c r="C1372" s="453"/>
      <c r="D1372" s="453"/>
      <c r="E1372" s="453"/>
    </row>
    <row r="1373" spans="3:5" ht="15">
      <c r="C1373" s="453"/>
      <c r="D1373" s="453"/>
      <c r="E1373" s="453"/>
    </row>
    <row r="1374" spans="3:5" ht="15">
      <c r="C1374" s="453"/>
      <c r="D1374" s="453"/>
      <c r="E1374" s="453"/>
    </row>
    <row r="1375" spans="3:5" ht="15">
      <c r="C1375" s="453"/>
      <c r="D1375" s="453"/>
      <c r="E1375" s="453"/>
    </row>
    <row r="1376" spans="3:5" ht="15">
      <c r="C1376" s="453"/>
      <c r="D1376" s="453"/>
      <c r="E1376" s="453"/>
    </row>
    <row r="1377" spans="3:5" ht="15">
      <c r="C1377" s="453"/>
      <c r="D1377" s="453"/>
      <c r="E1377" s="453"/>
    </row>
    <row r="1378" spans="3:5" ht="15">
      <c r="C1378" s="453"/>
      <c r="D1378" s="453"/>
      <c r="E1378" s="453"/>
    </row>
    <row r="1379" spans="3:5" ht="15">
      <c r="C1379" s="453"/>
      <c r="D1379" s="453"/>
      <c r="E1379" s="453"/>
    </row>
    <row r="1380" spans="3:5" ht="15">
      <c r="C1380" s="453"/>
      <c r="D1380" s="453"/>
      <c r="E1380" s="453"/>
    </row>
    <row r="1381" spans="3:5" ht="15">
      <c r="C1381" s="453"/>
      <c r="D1381" s="453"/>
      <c r="E1381" s="453"/>
    </row>
    <row r="1382" spans="3:5" ht="15">
      <c r="C1382" s="453"/>
      <c r="D1382" s="453"/>
      <c r="E1382" s="453"/>
    </row>
    <row r="1383" spans="3:5" ht="15">
      <c r="C1383" s="453"/>
      <c r="D1383" s="453"/>
      <c r="E1383" s="453"/>
    </row>
    <row r="1384" spans="3:5" ht="15">
      <c r="C1384" s="453"/>
      <c r="D1384" s="453"/>
      <c r="E1384" s="453"/>
    </row>
    <row r="1385" spans="3:5" ht="15">
      <c r="C1385" s="453"/>
      <c r="D1385" s="453"/>
      <c r="E1385" s="453"/>
    </row>
    <row r="1386" spans="3:5" ht="15">
      <c r="C1386" s="453"/>
      <c r="D1386" s="453"/>
      <c r="E1386" s="453"/>
    </row>
    <row r="1387" spans="3:5" ht="15">
      <c r="C1387" s="453"/>
      <c r="D1387" s="453"/>
      <c r="E1387" s="453"/>
    </row>
    <row r="1388" spans="3:5" ht="15">
      <c r="C1388" s="453"/>
      <c r="D1388" s="453"/>
      <c r="E1388" s="453"/>
    </row>
    <row r="1389" spans="3:5" ht="15">
      <c r="C1389" s="453"/>
      <c r="D1389" s="453"/>
      <c r="E1389" s="453"/>
    </row>
    <row r="1390" spans="3:5" ht="15">
      <c r="C1390" s="453"/>
      <c r="D1390" s="453"/>
      <c r="E1390" s="453"/>
    </row>
    <row r="1391" spans="3:5" ht="15">
      <c r="C1391" s="453"/>
      <c r="D1391" s="453"/>
      <c r="E1391" s="453"/>
    </row>
    <row r="1392" spans="3:5" ht="15">
      <c r="C1392" s="453"/>
      <c r="D1392" s="453"/>
      <c r="E1392" s="453"/>
    </row>
    <row r="1393" spans="3:5" ht="15">
      <c r="C1393" s="453"/>
      <c r="D1393" s="453"/>
      <c r="E1393" s="453"/>
    </row>
    <row r="1394" spans="3:5" ht="15">
      <c r="C1394" s="453"/>
      <c r="D1394" s="453"/>
      <c r="E1394" s="453"/>
    </row>
    <row r="1395" spans="3:5" ht="15">
      <c r="C1395" s="453"/>
      <c r="D1395" s="453"/>
      <c r="E1395" s="453"/>
    </row>
    <row r="1396" spans="3:5" ht="15">
      <c r="C1396" s="453"/>
      <c r="D1396" s="453"/>
      <c r="E1396" s="453"/>
    </row>
    <row r="1397" spans="3:5" ht="15">
      <c r="C1397" s="453"/>
      <c r="D1397" s="453"/>
      <c r="E1397" s="453"/>
    </row>
    <row r="1398" spans="3:5" ht="15">
      <c r="C1398" s="453"/>
      <c r="D1398" s="453"/>
      <c r="E1398" s="453"/>
    </row>
    <row r="1399" spans="3:5" ht="15">
      <c r="C1399" s="453"/>
      <c r="D1399" s="453"/>
      <c r="E1399" s="453"/>
    </row>
    <row r="1400" spans="3:5" ht="15">
      <c r="C1400" s="453"/>
      <c r="D1400" s="453"/>
      <c r="E1400" s="453"/>
    </row>
    <row r="1401" spans="3:5" ht="15">
      <c r="C1401" s="453"/>
      <c r="D1401" s="453"/>
      <c r="E1401" s="453"/>
    </row>
    <row r="1402" spans="3:5" ht="15">
      <c r="C1402" s="453"/>
      <c r="D1402" s="453"/>
      <c r="E1402" s="453"/>
    </row>
    <row r="1403" spans="3:5" ht="15">
      <c r="C1403" s="453"/>
      <c r="D1403" s="453"/>
      <c r="E1403" s="453"/>
    </row>
    <row r="1404" spans="3:5" ht="15">
      <c r="C1404" s="453"/>
      <c r="D1404" s="453"/>
      <c r="E1404" s="453"/>
    </row>
    <row r="1405" spans="3:5" ht="15">
      <c r="C1405" s="453"/>
      <c r="D1405" s="453"/>
      <c r="E1405" s="453"/>
    </row>
    <row r="1406" spans="3:5" ht="15">
      <c r="C1406" s="453"/>
      <c r="D1406" s="453"/>
      <c r="E1406" s="453"/>
    </row>
    <row r="1407" spans="3:5" ht="15">
      <c r="C1407" s="453"/>
      <c r="D1407" s="453"/>
      <c r="E1407" s="453"/>
    </row>
    <row r="1408" spans="3:5" ht="15">
      <c r="C1408" s="453"/>
      <c r="D1408" s="453"/>
      <c r="E1408" s="453"/>
    </row>
    <row r="1409" spans="3:5" ht="15">
      <c r="C1409" s="453"/>
      <c r="D1409" s="453"/>
      <c r="E1409" s="453"/>
    </row>
    <row r="1410" spans="3:5" ht="15">
      <c r="C1410" s="453"/>
      <c r="D1410" s="453"/>
      <c r="E1410" s="453"/>
    </row>
    <row r="1411" spans="3:5" ht="15">
      <c r="C1411" s="453"/>
      <c r="D1411" s="453"/>
      <c r="E1411" s="453"/>
    </row>
    <row r="1412" spans="3:5" ht="15">
      <c r="C1412" s="453"/>
      <c r="D1412" s="453"/>
      <c r="E1412" s="453"/>
    </row>
    <row r="1413" spans="3:5" ht="15">
      <c r="C1413" s="453"/>
      <c r="D1413" s="453"/>
      <c r="E1413" s="453"/>
    </row>
    <row r="1414" spans="3:5" ht="15">
      <c r="C1414" s="453"/>
      <c r="D1414" s="453"/>
      <c r="E1414" s="453"/>
    </row>
    <row r="1415" spans="3:5" ht="15">
      <c r="C1415" s="453"/>
      <c r="D1415" s="453"/>
      <c r="E1415" s="453"/>
    </row>
    <row r="1416" spans="3:5" ht="15">
      <c r="C1416" s="453"/>
      <c r="D1416" s="453"/>
      <c r="E1416" s="453"/>
    </row>
    <row r="1417" spans="3:5" ht="15">
      <c r="C1417" s="453"/>
      <c r="D1417" s="453"/>
      <c r="E1417" s="453"/>
    </row>
    <row r="1418" spans="3:5" ht="15">
      <c r="C1418" s="453"/>
      <c r="D1418" s="453"/>
      <c r="E1418" s="453"/>
    </row>
    <row r="1419" spans="3:5" ht="15">
      <c r="C1419" s="453"/>
      <c r="D1419" s="453"/>
      <c r="E1419" s="453"/>
    </row>
    <row r="1420" spans="3:5" ht="15">
      <c r="C1420" s="453"/>
      <c r="D1420" s="453"/>
      <c r="E1420" s="453"/>
    </row>
    <row r="1421" spans="3:5" ht="15">
      <c r="C1421" s="453"/>
      <c r="D1421" s="453"/>
      <c r="E1421" s="453"/>
    </row>
    <row r="1422" spans="3:5" ht="15">
      <c r="C1422" s="453"/>
      <c r="D1422" s="453"/>
      <c r="E1422" s="453"/>
    </row>
    <row r="1423" spans="3:5" ht="15">
      <c r="C1423" s="453"/>
      <c r="D1423" s="453"/>
      <c r="E1423" s="453"/>
    </row>
    <row r="1424" spans="3:5" ht="15">
      <c r="C1424" s="453"/>
      <c r="D1424" s="453"/>
      <c r="E1424" s="453"/>
    </row>
    <row r="1425" spans="3:5" ht="15">
      <c r="C1425" s="453"/>
      <c r="D1425" s="453"/>
      <c r="E1425" s="453"/>
    </row>
    <row r="1426" spans="3:5" ht="15">
      <c r="C1426" s="453"/>
      <c r="D1426" s="453"/>
      <c r="E1426" s="453"/>
    </row>
    <row r="1427" spans="3:5" ht="15">
      <c r="C1427" s="453"/>
      <c r="D1427" s="453"/>
      <c r="E1427" s="453"/>
    </row>
    <row r="1428" spans="3:5" ht="15">
      <c r="C1428" s="453"/>
      <c r="D1428" s="453"/>
      <c r="E1428" s="453"/>
    </row>
    <row r="1429" spans="3:5" ht="15">
      <c r="C1429" s="453"/>
      <c r="D1429" s="453"/>
      <c r="E1429" s="453"/>
    </row>
    <row r="1430" spans="3:5" ht="15">
      <c r="C1430" s="453"/>
      <c r="D1430" s="453"/>
      <c r="E1430" s="453"/>
    </row>
    <row r="1431" spans="3:5" ht="15">
      <c r="C1431" s="453"/>
      <c r="D1431" s="453"/>
      <c r="E1431" s="453"/>
    </row>
    <row r="1432" spans="3:5" ht="15">
      <c r="C1432" s="453"/>
      <c r="D1432" s="453"/>
      <c r="E1432" s="453"/>
    </row>
    <row r="1433" spans="3:5" ht="15">
      <c r="C1433" s="453"/>
      <c r="D1433" s="453"/>
      <c r="E1433" s="453"/>
    </row>
    <row r="1434" spans="3:5" ht="15">
      <c r="C1434" s="453"/>
      <c r="D1434" s="453"/>
      <c r="E1434" s="453"/>
    </row>
    <row r="1435" spans="3:5" ht="15">
      <c r="C1435" s="453"/>
      <c r="D1435" s="453"/>
      <c r="E1435" s="453"/>
    </row>
    <row r="1436" spans="3:5" ht="15">
      <c r="C1436" s="453"/>
      <c r="D1436" s="453"/>
      <c r="E1436" s="453"/>
    </row>
    <row r="1437" spans="3:5" ht="15">
      <c r="C1437" s="453"/>
      <c r="D1437" s="453"/>
      <c r="E1437" s="453"/>
    </row>
    <row r="1438" spans="3:5" ht="15">
      <c r="C1438" s="453"/>
      <c r="D1438" s="453"/>
      <c r="E1438" s="453"/>
    </row>
    <row r="1439" spans="3:5" ht="15">
      <c r="C1439" s="453"/>
      <c r="D1439" s="453"/>
      <c r="E1439" s="453"/>
    </row>
    <row r="1440" spans="3:5" ht="15">
      <c r="C1440" s="453"/>
      <c r="D1440" s="453"/>
      <c r="E1440" s="453"/>
    </row>
    <row r="1441" spans="3:5" ht="15">
      <c r="C1441" s="453"/>
      <c r="D1441" s="453"/>
      <c r="E1441" s="453"/>
    </row>
    <row r="1442" spans="3:5" ht="15">
      <c r="C1442" s="453"/>
      <c r="D1442" s="453"/>
      <c r="E1442" s="453"/>
    </row>
    <row r="1443" spans="3:5" ht="15">
      <c r="C1443" s="453"/>
      <c r="D1443" s="453"/>
      <c r="E1443" s="453"/>
    </row>
    <row r="1444" spans="3:5" ht="15">
      <c r="C1444" s="453"/>
      <c r="D1444" s="453"/>
      <c r="E1444" s="453"/>
    </row>
    <row r="1445" spans="3:5" ht="15">
      <c r="C1445" s="453"/>
      <c r="D1445" s="453"/>
      <c r="E1445" s="453"/>
    </row>
    <row r="1446" spans="3:5" ht="15">
      <c r="C1446" s="453"/>
      <c r="D1446" s="453"/>
      <c r="E1446" s="453"/>
    </row>
    <row r="1447" spans="3:5" ht="15">
      <c r="C1447" s="453"/>
      <c r="D1447" s="453"/>
      <c r="E1447" s="453"/>
    </row>
    <row r="1448" spans="3:5" ht="15">
      <c r="C1448" s="453"/>
      <c r="D1448" s="453"/>
      <c r="E1448" s="453"/>
    </row>
    <row r="1449" spans="3:5" ht="15">
      <c r="C1449" s="453"/>
      <c r="D1449" s="453"/>
      <c r="E1449" s="453"/>
    </row>
    <row r="1450" spans="3:5" ht="15">
      <c r="C1450" s="453"/>
      <c r="D1450" s="453"/>
      <c r="E1450" s="453"/>
    </row>
    <row r="1451" spans="3:5" ht="15">
      <c r="C1451" s="453"/>
      <c r="D1451" s="453"/>
      <c r="E1451" s="453"/>
    </row>
    <row r="1452" spans="3:5" ht="15">
      <c r="C1452" s="453"/>
      <c r="D1452" s="453"/>
      <c r="E1452" s="453"/>
    </row>
    <row r="1453" spans="3:5" ht="15">
      <c r="C1453" s="453"/>
      <c r="D1453" s="453"/>
      <c r="E1453" s="453"/>
    </row>
    <row r="1454" spans="3:5" ht="15">
      <c r="C1454" s="453"/>
      <c r="D1454" s="453"/>
      <c r="E1454" s="453"/>
    </row>
    <row r="1455" spans="3:5" ht="15">
      <c r="C1455" s="453"/>
      <c r="D1455" s="453"/>
      <c r="E1455" s="453"/>
    </row>
    <row r="1456" spans="3:5" ht="15">
      <c r="C1456" s="453"/>
      <c r="D1456" s="453"/>
      <c r="E1456" s="453"/>
    </row>
    <row r="1457" spans="3:5" ht="15">
      <c r="C1457" s="453"/>
      <c r="D1457" s="453"/>
      <c r="E1457" s="453"/>
    </row>
    <row r="1458" spans="3:5" ht="15">
      <c r="C1458" s="453"/>
      <c r="D1458" s="453"/>
      <c r="E1458" s="453"/>
    </row>
    <row r="1459" spans="3:5" ht="15">
      <c r="C1459" s="453"/>
      <c r="D1459" s="453"/>
      <c r="E1459" s="453"/>
    </row>
    <row r="1460" spans="3:5" ht="15">
      <c r="C1460" s="453"/>
      <c r="D1460" s="453"/>
      <c r="E1460" s="453"/>
    </row>
    <row r="1461" spans="3:5" ht="15">
      <c r="C1461" s="453"/>
      <c r="D1461" s="453"/>
      <c r="E1461" s="453"/>
    </row>
    <row r="1462" spans="3:5" ht="15">
      <c r="C1462" s="453"/>
      <c r="D1462" s="453"/>
      <c r="E1462" s="453"/>
    </row>
    <row r="1463" spans="3:5" ht="15">
      <c r="C1463" s="453"/>
      <c r="D1463" s="453"/>
      <c r="E1463" s="453"/>
    </row>
    <row r="1464" spans="3:5" ht="15">
      <c r="C1464" s="453"/>
      <c r="D1464" s="453"/>
      <c r="E1464" s="453"/>
    </row>
    <row r="1465" spans="3:5" ht="15">
      <c r="C1465" s="453"/>
      <c r="D1465" s="453"/>
      <c r="E1465" s="453"/>
    </row>
    <row r="1466" spans="3:5" ht="15">
      <c r="C1466" s="453"/>
      <c r="D1466" s="453"/>
      <c r="E1466" s="453"/>
    </row>
    <row r="1467" spans="3:5" ht="15">
      <c r="C1467" s="453"/>
      <c r="D1467" s="453"/>
      <c r="E1467" s="453"/>
    </row>
    <row r="1468" spans="3:5" ht="15">
      <c r="C1468" s="453"/>
      <c r="D1468" s="453"/>
      <c r="E1468" s="453"/>
    </row>
    <row r="1469" spans="3:5" ht="15">
      <c r="C1469" s="453"/>
      <c r="D1469" s="453"/>
      <c r="E1469" s="453"/>
    </row>
    <row r="1470" spans="3:5" ht="15">
      <c r="C1470" s="453"/>
      <c r="D1470" s="453"/>
      <c r="E1470" s="453"/>
    </row>
    <row r="1471" spans="3:5" ht="15">
      <c r="C1471" s="453"/>
      <c r="D1471" s="453"/>
      <c r="E1471" s="453"/>
    </row>
    <row r="1472" spans="3:5" ht="15">
      <c r="C1472" s="453"/>
      <c r="D1472" s="453"/>
      <c r="E1472" s="453"/>
    </row>
    <row r="1473" spans="3:5" ht="15">
      <c r="C1473" s="453"/>
      <c r="D1473" s="453"/>
      <c r="E1473" s="453"/>
    </row>
    <row r="1474" spans="3:5" ht="15">
      <c r="C1474" s="453"/>
      <c r="D1474" s="453"/>
      <c r="E1474" s="453"/>
    </row>
    <row r="1475" spans="3:5" ht="15">
      <c r="C1475" s="453"/>
      <c r="D1475" s="453"/>
      <c r="E1475" s="453"/>
    </row>
    <row r="1476" spans="3:5" ht="15">
      <c r="C1476" s="453"/>
      <c r="D1476" s="453"/>
      <c r="E1476" s="453"/>
    </row>
    <row r="1477" spans="3:5" ht="15">
      <c r="C1477" s="453"/>
      <c r="D1477" s="453"/>
      <c r="E1477" s="453"/>
    </row>
    <row r="1478" spans="3:5" ht="15">
      <c r="C1478" s="453"/>
      <c r="D1478" s="453"/>
      <c r="E1478" s="453"/>
    </row>
    <row r="1479" spans="3:5" ht="15">
      <c r="C1479" s="453"/>
      <c r="D1479" s="453"/>
      <c r="E1479" s="453"/>
    </row>
    <row r="1480" spans="3:5" ht="15">
      <c r="C1480" s="453"/>
      <c r="D1480" s="453"/>
      <c r="E1480" s="453"/>
    </row>
    <row r="1481" spans="3:5" ht="15">
      <c r="C1481" s="453"/>
      <c r="D1481" s="453"/>
      <c r="E1481" s="453"/>
    </row>
    <row r="1482" spans="3:5" ht="15">
      <c r="C1482" s="453"/>
      <c r="D1482" s="453"/>
      <c r="E1482" s="453"/>
    </row>
    <row r="1483" spans="3:5" ht="15">
      <c r="C1483" s="453"/>
      <c r="D1483" s="453"/>
      <c r="E1483" s="453"/>
    </row>
    <row r="1484" spans="3:5" ht="15">
      <c r="C1484" s="453"/>
      <c r="D1484" s="453"/>
      <c r="E1484" s="453"/>
    </row>
    <row r="1485" spans="3:5" ht="15">
      <c r="C1485" s="453"/>
      <c r="D1485" s="453"/>
      <c r="E1485" s="453"/>
    </row>
    <row r="1486" spans="3:5" ht="15">
      <c r="C1486" s="453"/>
      <c r="D1486" s="453"/>
      <c r="E1486" s="453"/>
    </row>
    <row r="1487" spans="3:5" ht="15">
      <c r="C1487" s="453"/>
      <c r="D1487" s="453"/>
      <c r="E1487" s="453"/>
    </row>
    <row r="1488" spans="3:5" ht="15">
      <c r="C1488" s="453"/>
      <c r="D1488" s="453"/>
      <c r="E1488" s="453"/>
    </row>
    <row r="1489" spans="3:5" ht="15">
      <c r="C1489" s="453"/>
      <c r="D1489" s="453"/>
      <c r="E1489" s="453"/>
    </row>
    <row r="1490" spans="3:5" ht="15">
      <c r="C1490" s="453"/>
      <c r="D1490" s="453"/>
      <c r="E1490" s="453"/>
    </row>
    <row r="1491" spans="3:5" ht="15">
      <c r="C1491" s="453"/>
      <c r="D1491" s="453"/>
      <c r="E1491" s="453"/>
    </row>
    <row r="1492" spans="3:5" ht="15">
      <c r="C1492" s="453"/>
      <c r="D1492" s="453"/>
      <c r="E1492" s="453"/>
    </row>
    <row r="1493" spans="3:5" ht="15">
      <c r="C1493" s="453"/>
      <c r="D1493" s="453"/>
      <c r="E1493" s="453"/>
    </row>
    <row r="1494" spans="3:5" ht="15">
      <c r="C1494" s="453"/>
      <c r="D1494" s="453"/>
      <c r="E1494" s="453"/>
    </row>
    <row r="1495" spans="3:5" ht="15">
      <c r="C1495" s="453"/>
      <c r="D1495" s="453"/>
      <c r="E1495" s="453"/>
    </row>
    <row r="1496" spans="3:5" ht="15">
      <c r="C1496" s="453"/>
      <c r="D1496" s="453"/>
      <c r="E1496" s="453"/>
    </row>
    <row r="1497" spans="3:5" ht="15">
      <c r="C1497" s="453"/>
      <c r="D1497" s="453"/>
      <c r="E1497" s="453"/>
    </row>
    <row r="1498" spans="3:5" ht="15">
      <c r="C1498" s="453"/>
      <c r="D1498" s="453"/>
      <c r="E1498" s="453"/>
    </row>
    <row r="1499" spans="3:5" ht="15">
      <c r="C1499" s="453"/>
      <c r="D1499" s="453"/>
      <c r="E1499" s="453"/>
    </row>
    <row r="1500" spans="3:5" ht="15">
      <c r="C1500" s="453"/>
      <c r="D1500" s="453"/>
      <c r="E1500" s="453"/>
    </row>
    <row r="1501" spans="3:5" ht="15">
      <c r="C1501" s="453"/>
      <c r="D1501" s="453"/>
      <c r="E1501" s="453"/>
    </row>
    <row r="1502" spans="3:5" ht="15">
      <c r="C1502" s="453"/>
      <c r="D1502" s="453"/>
      <c r="E1502" s="453"/>
    </row>
    <row r="1503" spans="3:5" ht="15">
      <c r="C1503" s="453"/>
      <c r="D1503" s="453"/>
      <c r="E1503" s="453"/>
    </row>
    <row r="1504" spans="3:5" ht="15">
      <c r="C1504" s="453"/>
      <c r="D1504" s="453"/>
      <c r="E1504" s="453"/>
    </row>
    <row r="1505" spans="3:5" ht="15">
      <c r="C1505" s="453"/>
      <c r="D1505" s="453"/>
      <c r="E1505" s="453"/>
    </row>
    <row r="1506" spans="3:5" ht="15">
      <c r="C1506" s="453"/>
      <c r="D1506" s="453"/>
      <c r="E1506" s="453"/>
    </row>
    <row r="1507" spans="3:5" ht="15">
      <c r="C1507" s="453"/>
      <c r="D1507" s="453"/>
      <c r="E1507" s="453"/>
    </row>
    <row r="1508" spans="3:5" ht="15">
      <c r="C1508" s="453"/>
      <c r="D1508" s="453"/>
      <c r="E1508" s="453"/>
    </row>
    <row r="1509" spans="3:5" ht="15">
      <c r="C1509" s="453"/>
      <c r="D1509" s="453"/>
      <c r="E1509" s="453"/>
    </row>
    <row r="1510" spans="3:5" ht="15">
      <c r="C1510" s="453"/>
      <c r="D1510" s="453"/>
      <c r="E1510" s="453"/>
    </row>
    <row r="1511" spans="3:5" ht="15">
      <c r="C1511" s="453"/>
      <c r="D1511" s="453"/>
      <c r="E1511" s="453"/>
    </row>
    <row r="1512" spans="3:5" ht="15">
      <c r="C1512" s="453"/>
      <c r="D1512" s="453"/>
      <c r="E1512" s="453"/>
    </row>
    <row r="1513" spans="3:5" ht="15">
      <c r="C1513" s="453"/>
      <c r="D1513" s="453"/>
      <c r="E1513" s="453"/>
    </row>
    <row r="1514" spans="3:5" ht="15">
      <c r="C1514" s="453"/>
      <c r="D1514" s="453"/>
      <c r="E1514" s="453"/>
    </row>
    <row r="1515" spans="3:5" ht="15">
      <c r="C1515" s="453"/>
      <c r="D1515" s="453"/>
      <c r="E1515" s="453"/>
    </row>
    <row r="1516" spans="3:5" ht="15">
      <c r="C1516" s="453"/>
      <c r="D1516" s="453"/>
      <c r="E1516" s="453"/>
    </row>
    <row r="1517" spans="3:5" ht="15">
      <c r="C1517" s="453"/>
      <c r="D1517" s="453"/>
      <c r="E1517" s="453"/>
    </row>
    <row r="1518" spans="3:5" ht="15">
      <c r="C1518" s="453"/>
      <c r="D1518" s="453"/>
      <c r="E1518" s="453"/>
    </row>
    <row r="1519" spans="3:5" ht="15">
      <c r="C1519" s="453"/>
      <c r="D1519" s="453"/>
      <c r="E1519" s="453"/>
    </row>
    <row r="1520" spans="3:5" ht="15">
      <c r="C1520" s="453"/>
      <c r="D1520" s="453"/>
      <c r="E1520" s="453"/>
    </row>
    <row r="1521" spans="3:5" ht="15">
      <c r="C1521" s="453"/>
      <c r="D1521" s="453"/>
      <c r="E1521" s="453"/>
    </row>
    <row r="1522" spans="3:5" ht="15">
      <c r="C1522" s="453"/>
      <c r="D1522" s="453"/>
      <c r="E1522" s="453"/>
    </row>
    <row r="1523" spans="3:5" ht="15">
      <c r="C1523" s="453"/>
      <c r="D1523" s="453"/>
      <c r="E1523" s="453"/>
    </row>
    <row r="1524" spans="3:5" ht="15">
      <c r="C1524" s="453"/>
      <c r="D1524" s="453"/>
      <c r="E1524" s="453"/>
    </row>
    <row r="1525" spans="3:5" ht="15">
      <c r="C1525" s="453"/>
      <c r="D1525" s="453"/>
      <c r="E1525" s="453"/>
    </row>
    <row r="1526" spans="3:5" ht="15">
      <c r="C1526" s="453"/>
      <c r="D1526" s="453"/>
      <c r="E1526" s="453"/>
    </row>
    <row r="1527" spans="3:5" ht="15">
      <c r="C1527" s="453"/>
      <c r="D1527" s="453"/>
      <c r="E1527" s="453"/>
    </row>
    <row r="1528" spans="3:5" ht="15">
      <c r="C1528" s="453"/>
      <c r="D1528" s="453"/>
      <c r="E1528" s="453"/>
    </row>
    <row r="1529" spans="3:5" ht="15">
      <c r="C1529" s="453"/>
      <c r="D1529" s="453"/>
      <c r="E1529" s="453"/>
    </row>
    <row r="1530" spans="3:5" ht="15">
      <c r="C1530" s="453"/>
      <c r="D1530" s="453"/>
      <c r="E1530" s="453"/>
    </row>
    <row r="1531" spans="3:5" ht="15">
      <c r="C1531" s="453"/>
      <c r="D1531" s="453"/>
      <c r="E1531" s="453"/>
    </row>
    <row r="1532" spans="3:5" ht="15">
      <c r="C1532" s="453"/>
      <c r="D1532" s="453"/>
      <c r="E1532" s="453"/>
    </row>
    <row r="1533" spans="3:5" ht="15">
      <c r="C1533" s="453"/>
      <c r="D1533" s="453"/>
      <c r="E1533" s="453"/>
    </row>
    <row r="1534" spans="3:5" ht="15">
      <c r="C1534" s="453"/>
      <c r="D1534" s="453"/>
      <c r="E1534" s="453"/>
    </row>
    <row r="1535" spans="3:5" ht="15">
      <c r="C1535" s="453"/>
      <c r="D1535" s="453"/>
      <c r="E1535" s="453"/>
    </row>
    <row r="1536" spans="3:5" ht="15">
      <c r="C1536" s="453"/>
      <c r="D1536" s="453"/>
      <c r="E1536" s="453"/>
    </row>
    <row r="1537" spans="3:5" ht="15">
      <c r="C1537" s="453"/>
      <c r="D1537" s="453"/>
      <c r="E1537" s="453"/>
    </row>
    <row r="1538" spans="3:5" ht="15">
      <c r="C1538" s="453"/>
      <c r="D1538" s="453"/>
      <c r="E1538" s="453"/>
    </row>
    <row r="1539" spans="3:5" ht="15">
      <c r="C1539" s="453"/>
      <c r="D1539" s="453"/>
      <c r="E1539" s="453"/>
    </row>
    <row r="1540" spans="3:5" ht="15">
      <c r="C1540" s="453"/>
      <c r="D1540" s="453"/>
      <c r="E1540" s="453"/>
    </row>
    <row r="1541" spans="3:5" ht="15">
      <c r="C1541" s="453"/>
      <c r="D1541" s="453"/>
      <c r="E1541" s="453"/>
    </row>
    <row r="1542" spans="3:5" ht="15">
      <c r="C1542" s="453"/>
      <c r="D1542" s="453"/>
      <c r="E1542" s="453"/>
    </row>
    <row r="1543" spans="3:5" ht="15">
      <c r="C1543" s="453"/>
      <c r="D1543" s="453"/>
      <c r="E1543" s="453"/>
    </row>
    <row r="1544" spans="3:5" ht="15">
      <c r="C1544" s="453"/>
      <c r="D1544" s="453"/>
      <c r="E1544" s="453"/>
    </row>
    <row r="1545" spans="3:5" ht="15">
      <c r="C1545" s="453"/>
      <c r="D1545" s="453"/>
      <c r="E1545" s="453"/>
    </row>
    <row r="1546" spans="3:5" ht="15">
      <c r="C1546" s="453"/>
      <c r="D1546" s="453"/>
      <c r="E1546" s="453"/>
    </row>
    <row r="1547" spans="3:5" ht="15">
      <c r="C1547" s="453"/>
      <c r="D1547" s="453"/>
      <c r="E1547" s="453"/>
    </row>
    <row r="1548" spans="3:5" ht="15">
      <c r="C1548" s="453"/>
      <c r="D1548" s="453"/>
      <c r="E1548" s="453"/>
    </row>
    <row r="1549" spans="3:5" ht="15">
      <c r="C1549" s="453"/>
      <c r="D1549" s="453"/>
      <c r="E1549" s="453"/>
    </row>
    <row r="1550" spans="3:5" ht="15">
      <c r="C1550" s="453"/>
      <c r="D1550" s="453"/>
      <c r="E1550" s="453"/>
    </row>
    <row r="1551" spans="3:5" ht="15">
      <c r="C1551" s="453"/>
      <c r="D1551" s="453"/>
      <c r="E1551" s="453"/>
    </row>
    <row r="1552" spans="3:5" ht="15">
      <c r="C1552" s="453"/>
      <c r="D1552" s="453"/>
      <c r="E1552" s="453"/>
    </row>
    <row r="1553" spans="3:5" ht="15">
      <c r="C1553" s="453"/>
      <c r="D1553" s="453"/>
      <c r="E1553" s="453"/>
    </row>
    <row r="1554" spans="3:5" ht="15">
      <c r="C1554" s="453"/>
      <c r="D1554" s="453"/>
      <c r="E1554" s="453"/>
    </row>
    <row r="1555" spans="3:5" ht="15">
      <c r="C1555" s="453"/>
      <c r="D1555" s="453"/>
      <c r="E1555" s="453"/>
    </row>
    <row r="1556" spans="3:5" ht="15">
      <c r="C1556" s="453"/>
      <c r="D1556" s="453"/>
      <c r="E1556" s="453"/>
    </row>
    <row r="1557" spans="3:5" ht="15">
      <c r="C1557" s="453"/>
      <c r="D1557" s="453"/>
      <c r="E1557" s="453"/>
    </row>
    <row r="1558" spans="3:5" ht="15">
      <c r="C1558" s="453"/>
      <c r="D1558" s="453"/>
      <c r="E1558" s="453"/>
    </row>
    <row r="1559" spans="3:5" ht="15">
      <c r="C1559" s="453"/>
      <c r="D1559" s="453"/>
      <c r="E1559" s="453"/>
    </row>
    <row r="1560" spans="3:5" ht="15">
      <c r="C1560" s="453"/>
      <c r="D1560" s="453"/>
      <c r="E1560" s="453"/>
    </row>
    <row r="1561" spans="3:5" ht="15">
      <c r="C1561" s="453"/>
      <c r="D1561" s="453"/>
      <c r="E1561" s="453"/>
    </row>
    <row r="1562" spans="3:5" ht="15">
      <c r="C1562" s="453"/>
      <c r="D1562" s="453"/>
      <c r="E1562" s="453"/>
    </row>
    <row r="1563" spans="3:5" ht="15">
      <c r="C1563" s="453"/>
      <c r="D1563" s="453"/>
      <c r="E1563" s="453"/>
    </row>
    <row r="1564" spans="3:5" ht="15">
      <c r="C1564" s="453"/>
      <c r="D1564" s="453"/>
      <c r="E1564" s="453"/>
    </row>
    <row r="1565" spans="3:5" ht="15">
      <c r="C1565" s="453"/>
      <c r="D1565" s="453"/>
      <c r="E1565" s="453"/>
    </row>
    <row r="1566" spans="3:5" ht="15">
      <c r="C1566" s="453"/>
      <c r="D1566" s="453"/>
      <c r="E1566" s="453"/>
    </row>
    <row r="1567" spans="3:5" ht="15">
      <c r="C1567" s="453"/>
      <c r="D1567" s="453"/>
      <c r="E1567" s="453"/>
    </row>
    <row r="1568" spans="3:5" ht="15">
      <c r="C1568" s="453"/>
      <c r="D1568" s="453"/>
      <c r="E1568" s="453"/>
    </row>
    <row r="1569" spans="3:5" ht="15">
      <c r="C1569" s="453"/>
      <c r="D1569" s="453"/>
      <c r="E1569" s="453"/>
    </row>
    <row r="1570" spans="3:5" ht="15">
      <c r="C1570" s="453"/>
      <c r="D1570" s="453"/>
      <c r="E1570" s="453"/>
    </row>
    <row r="1571" spans="3:5" ht="15">
      <c r="C1571" s="453"/>
      <c r="D1571" s="453"/>
      <c r="E1571" s="453"/>
    </row>
    <row r="1572" spans="3:5" ht="15">
      <c r="C1572" s="453"/>
      <c r="D1572" s="453"/>
      <c r="E1572" s="453"/>
    </row>
    <row r="1573" spans="3:5" ht="15">
      <c r="C1573" s="453"/>
      <c r="D1573" s="453"/>
      <c r="E1573" s="453"/>
    </row>
    <row r="1574" spans="3:5" ht="15">
      <c r="C1574" s="453"/>
      <c r="D1574" s="453"/>
      <c r="E1574" s="453"/>
    </row>
    <row r="1575" spans="3:5" ht="15">
      <c r="C1575" s="453"/>
      <c r="D1575" s="453"/>
      <c r="E1575" s="453"/>
    </row>
    <row r="1576" spans="3:5" ht="15">
      <c r="C1576" s="453"/>
      <c r="D1576" s="453"/>
      <c r="E1576" s="453"/>
    </row>
    <row r="1577" spans="3:5" ht="15">
      <c r="C1577" s="453"/>
      <c r="D1577" s="453"/>
      <c r="E1577" s="453"/>
    </row>
    <row r="1578" spans="3:5" ht="15">
      <c r="C1578" s="453"/>
      <c r="D1578" s="453"/>
      <c r="E1578" s="453"/>
    </row>
    <row r="1579" spans="3:5" ht="15">
      <c r="C1579" s="453"/>
      <c r="D1579" s="453"/>
      <c r="E1579" s="453"/>
    </row>
    <row r="1580" spans="3:5" ht="15">
      <c r="C1580" s="453"/>
      <c r="D1580" s="453"/>
      <c r="E1580" s="453"/>
    </row>
    <row r="1581" spans="3:5" ht="15">
      <c r="C1581" s="453"/>
      <c r="D1581" s="453"/>
      <c r="E1581" s="453"/>
    </row>
    <row r="1582" spans="3:5" ht="15">
      <c r="C1582" s="453"/>
      <c r="D1582" s="453"/>
      <c r="E1582" s="453"/>
    </row>
    <row r="1583" spans="3:5" ht="15">
      <c r="C1583" s="453"/>
      <c r="D1583" s="453"/>
      <c r="E1583" s="453"/>
    </row>
    <row r="1584" spans="3:5" ht="15">
      <c r="C1584" s="453"/>
      <c r="D1584" s="453"/>
      <c r="E1584" s="453"/>
    </row>
    <row r="1585" spans="3:5" ht="15">
      <c r="C1585" s="453"/>
      <c r="D1585" s="453"/>
      <c r="E1585" s="453"/>
    </row>
    <row r="1586" spans="3:5" ht="15">
      <c r="C1586" s="453"/>
      <c r="D1586" s="453"/>
      <c r="E1586" s="453"/>
    </row>
    <row r="1587" spans="3:5" ht="15">
      <c r="C1587" s="453"/>
      <c r="D1587" s="453"/>
      <c r="E1587" s="453"/>
    </row>
    <row r="1588" spans="3:5" ht="15">
      <c r="C1588" s="453"/>
      <c r="D1588" s="453"/>
      <c r="E1588" s="453"/>
    </row>
    <row r="1589" spans="3:5" ht="15">
      <c r="C1589" s="453"/>
      <c r="D1589" s="453"/>
      <c r="E1589" s="453"/>
    </row>
    <row r="1590" spans="3:5" ht="15">
      <c r="C1590" s="453"/>
      <c r="D1590" s="453"/>
      <c r="E1590" s="453"/>
    </row>
    <row r="1591" spans="3:5" ht="15">
      <c r="C1591" s="453"/>
      <c r="D1591" s="453"/>
      <c r="E1591" s="453"/>
    </row>
    <row r="1592" spans="3:5" ht="15">
      <c r="C1592" s="453"/>
      <c r="D1592" s="453"/>
      <c r="E1592" s="453"/>
    </row>
    <row r="1593" spans="3:5" ht="15">
      <c r="C1593" s="453"/>
      <c r="D1593" s="453"/>
      <c r="E1593" s="453"/>
    </row>
    <row r="1594" spans="3:5" ht="15">
      <c r="C1594" s="453"/>
      <c r="D1594" s="453"/>
      <c r="E1594" s="453"/>
    </row>
    <row r="1595" spans="3:5" ht="15">
      <c r="C1595" s="453"/>
      <c r="D1595" s="453"/>
      <c r="E1595" s="453"/>
    </row>
    <row r="1596" spans="3:5" ht="15">
      <c r="C1596" s="453"/>
      <c r="D1596" s="453"/>
      <c r="E1596" s="453"/>
    </row>
    <row r="1597" spans="3:5" ht="15">
      <c r="C1597" s="453"/>
      <c r="D1597" s="453"/>
      <c r="E1597" s="453"/>
    </row>
    <row r="1598" spans="3:5" ht="15">
      <c r="C1598" s="453"/>
      <c r="D1598" s="453"/>
      <c r="E1598" s="453"/>
    </row>
    <row r="1599" spans="3:5" ht="15">
      <c r="C1599" s="453"/>
      <c r="D1599" s="453"/>
      <c r="E1599" s="453"/>
    </row>
    <row r="1600" spans="3:5" ht="15">
      <c r="C1600" s="453"/>
      <c r="D1600" s="453"/>
      <c r="E1600" s="453"/>
    </row>
    <row r="1601" spans="3:5" ht="15">
      <c r="C1601" s="453"/>
      <c r="D1601" s="453"/>
      <c r="E1601" s="453"/>
    </row>
    <row r="1602" spans="3:5" ht="15">
      <c r="C1602" s="453"/>
      <c r="D1602" s="453"/>
      <c r="E1602" s="453"/>
    </row>
    <row r="1603" spans="3:5" ht="15">
      <c r="C1603" s="453"/>
      <c r="D1603" s="453"/>
      <c r="E1603" s="453"/>
    </row>
    <row r="1604" spans="3:5" ht="15">
      <c r="C1604" s="453"/>
      <c r="D1604" s="453"/>
      <c r="E1604" s="453"/>
    </row>
    <row r="1605" spans="3:5" ht="15">
      <c r="C1605" s="453"/>
      <c r="D1605" s="453"/>
      <c r="E1605" s="453"/>
    </row>
    <row r="1606" spans="3:5" ht="15">
      <c r="C1606" s="453"/>
      <c r="D1606" s="453"/>
      <c r="E1606" s="453"/>
    </row>
    <row r="1607" spans="3:5" ht="15">
      <c r="C1607" s="453"/>
      <c r="D1607" s="453"/>
      <c r="E1607" s="453"/>
    </row>
    <row r="1608" spans="3:5" ht="15">
      <c r="C1608" s="453"/>
      <c r="D1608" s="453"/>
      <c r="E1608" s="453"/>
    </row>
    <row r="1609" spans="3:5" ht="15">
      <c r="C1609" s="453"/>
      <c r="D1609" s="453"/>
      <c r="E1609" s="453"/>
    </row>
    <row r="1610" spans="3:5" ht="15">
      <c r="C1610" s="453"/>
      <c r="D1610" s="453"/>
      <c r="E1610" s="453"/>
    </row>
    <row r="1611" spans="3:5" ht="15">
      <c r="C1611" s="453"/>
      <c r="D1611" s="453"/>
      <c r="E1611" s="453"/>
    </row>
    <row r="1612" spans="3:5" ht="15">
      <c r="C1612" s="453"/>
      <c r="D1612" s="453"/>
      <c r="E1612" s="453"/>
    </row>
    <row r="1613" spans="3:5" ht="15">
      <c r="C1613" s="453"/>
      <c r="D1613" s="453"/>
      <c r="E1613" s="453"/>
    </row>
    <row r="1614" spans="3:5" ht="15">
      <c r="C1614" s="453"/>
      <c r="D1614" s="453"/>
      <c r="E1614" s="453"/>
    </row>
    <row r="1615" spans="3:5" ht="15">
      <c r="C1615" s="453"/>
      <c r="D1615" s="453"/>
      <c r="E1615" s="453"/>
    </row>
    <row r="1616" spans="3:5" ht="15">
      <c r="C1616" s="453"/>
      <c r="D1616" s="453"/>
      <c r="E1616" s="453"/>
    </row>
    <row r="1617" spans="3:5" ht="15">
      <c r="C1617" s="453"/>
      <c r="D1617" s="453"/>
      <c r="E1617" s="453"/>
    </row>
    <row r="1618" spans="3:5" ht="15">
      <c r="C1618" s="453"/>
      <c r="D1618" s="453"/>
      <c r="E1618" s="453"/>
    </row>
    <row r="1619" spans="3:5" ht="15">
      <c r="C1619" s="453"/>
      <c r="D1619" s="453"/>
      <c r="E1619" s="453"/>
    </row>
    <row r="1620" spans="3:5" ht="15">
      <c r="C1620" s="453"/>
      <c r="D1620" s="453"/>
      <c r="E1620" s="453"/>
    </row>
    <row r="1621" spans="3:5" ht="15">
      <c r="C1621" s="453"/>
      <c r="D1621" s="453"/>
      <c r="E1621" s="453"/>
    </row>
    <row r="1622" spans="3:5" ht="15">
      <c r="C1622" s="453"/>
      <c r="D1622" s="453"/>
      <c r="E1622" s="453"/>
    </row>
    <row r="1623" spans="3:5" ht="15">
      <c r="C1623" s="453"/>
      <c r="D1623" s="453"/>
      <c r="E1623" s="453"/>
    </row>
    <row r="1624" spans="3:5" ht="15">
      <c r="C1624" s="453"/>
      <c r="D1624" s="453"/>
      <c r="E1624" s="453"/>
    </row>
    <row r="1625" spans="3:5" ht="15">
      <c r="C1625" s="453"/>
      <c r="D1625" s="453"/>
      <c r="E1625" s="453"/>
    </row>
    <row r="1626" spans="3:5" ht="15">
      <c r="C1626" s="453"/>
      <c r="D1626" s="453"/>
      <c r="E1626" s="453"/>
    </row>
    <row r="1627" spans="3:5" ht="15">
      <c r="C1627" s="453"/>
      <c r="D1627" s="453"/>
      <c r="E1627" s="453"/>
    </row>
    <row r="1628" spans="3:5" ht="15">
      <c r="C1628" s="453"/>
      <c r="D1628" s="453"/>
      <c r="E1628" s="453"/>
    </row>
    <row r="1629" spans="3:5" ht="15">
      <c r="C1629" s="453"/>
      <c r="D1629" s="453"/>
      <c r="E1629" s="453"/>
    </row>
    <row r="1630" spans="3:5" ht="15">
      <c r="C1630" s="453"/>
      <c r="D1630" s="453"/>
      <c r="E1630" s="453"/>
    </row>
    <row r="1631" spans="3:5" ht="15">
      <c r="C1631" s="453"/>
      <c r="D1631" s="453"/>
      <c r="E1631" s="453"/>
    </row>
    <row r="1632" spans="3:5" ht="15">
      <c r="C1632" s="453"/>
      <c r="D1632" s="453"/>
      <c r="E1632" s="453"/>
    </row>
    <row r="1633" spans="3:5" ht="15">
      <c r="C1633" s="453"/>
      <c r="D1633" s="453"/>
      <c r="E1633" s="453"/>
    </row>
    <row r="1634" spans="3:5" ht="15">
      <c r="C1634" s="453"/>
      <c r="D1634" s="453"/>
      <c r="E1634" s="453"/>
    </row>
    <row r="1635" spans="3:5" ht="15">
      <c r="C1635" s="453"/>
      <c r="D1635" s="453"/>
      <c r="E1635" s="453"/>
    </row>
    <row r="1636" spans="3:5" ht="15">
      <c r="C1636" s="453"/>
      <c r="D1636" s="453"/>
      <c r="E1636" s="453"/>
    </row>
    <row r="1637" spans="3:5" ht="15">
      <c r="C1637" s="453"/>
      <c r="D1637" s="453"/>
      <c r="E1637" s="453"/>
    </row>
    <row r="1638" spans="3:5" ht="15">
      <c r="C1638" s="453"/>
      <c r="D1638" s="453"/>
      <c r="E1638" s="453"/>
    </row>
    <row r="1639" spans="3:5" ht="15">
      <c r="C1639" s="453"/>
      <c r="D1639" s="453"/>
      <c r="E1639" s="453"/>
    </row>
    <row r="1640" spans="3:5" ht="15">
      <c r="C1640" s="453"/>
      <c r="D1640" s="453"/>
      <c r="E1640" s="453"/>
    </row>
    <row r="1641" spans="3:5" ht="15">
      <c r="C1641" s="453"/>
      <c r="D1641" s="453"/>
      <c r="E1641" s="453"/>
    </row>
    <row r="1642" spans="3:5" ht="15">
      <c r="C1642" s="453"/>
      <c r="D1642" s="453"/>
      <c r="E1642" s="453"/>
    </row>
    <row r="1643" spans="3:5" ht="15">
      <c r="C1643" s="453"/>
      <c r="D1643" s="453"/>
      <c r="E1643" s="453"/>
    </row>
    <row r="1644" spans="3:5" ht="15">
      <c r="C1644" s="453"/>
      <c r="D1644" s="453"/>
      <c r="E1644" s="453"/>
    </row>
    <row r="1645" spans="3:5" ht="15">
      <c r="C1645" s="453"/>
      <c r="D1645" s="453"/>
      <c r="E1645" s="453"/>
    </row>
    <row r="1646" spans="3:5" ht="15">
      <c r="C1646" s="453"/>
      <c r="D1646" s="453"/>
      <c r="E1646" s="453"/>
    </row>
    <row r="1647" spans="3:5" ht="15">
      <c r="C1647" s="453"/>
      <c r="D1647" s="453"/>
      <c r="E1647" s="453"/>
    </row>
    <row r="1648" spans="3:5" ht="15">
      <c r="C1648" s="453"/>
      <c r="D1648" s="453"/>
      <c r="E1648" s="453"/>
    </row>
    <row r="1649" spans="3:5" ht="15">
      <c r="C1649" s="453"/>
      <c r="D1649" s="453"/>
      <c r="E1649" s="453"/>
    </row>
    <row r="1650" spans="3:5" ht="15">
      <c r="C1650" s="453"/>
      <c r="D1650" s="453"/>
      <c r="E1650" s="453"/>
    </row>
    <row r="1651" spans="3:5" ht="15">
      <c r="C1651" s="453"/>
      <c r="D1651" s="453"/>
      <c r="E1651" s="453"/>
    </row>
    <row r="1652" spans="3:5" ht="15">
      <c r="C1652" s="453"/>
      <c r="D1652" s="453"/>
      <c r="E1652" s="453"/>
    </row>
    <row r="1653" spans="3:5" ht="15">
      <c r="C1653" s="453"/>
      <c r="D1653" s="453"/>
      <c r="E1653" s="453"/>
    </row>
    <row r="1654" spans="3:5" ht="15">
      <c r="C1654" s="453"/>
      <c r="D1654" s="453"/>
      <c r="E1654" s="453"/>
    </row>
    <row r="1655" spans="3:5" ht="15">
      <c r="C1655" s="453"/>
      <c r="D1655" s="453"/>
      <c r="E1655" s="453"/>
    </row>
    <row r="1656" spans="3:5" ht="15">
      <c r="C1656" s="453"/>
      <c r="D1656" s="453"/>
      <c r="E1656" s="453"/>
    </row>
    <row r="1657" spans="3:5" ht="15">
      <c r="C1657" s="453"/>
      <c r="D1657" s="453"/>
      <c r="E1657" s="453"/>
    </row>
    <row r="1658" spans="3:5" ht="15">
      <c r="C1658" s="453"/>
      <c r="D1658" s="453"/>
      <c r="E1658" s="453"/>
    </row>
    <row r="1659" spans="3:5" ht="15">
      <c r="C1659" s="453"/>
      <c r="D1659" s="453"/>
      <c r="E1659" s="453"/>
    </row>
    <row r="1660" spans="3:5" ht="15">
      <c r="C1660" s="453"/>
      <c r="D1660" s="453"/>
      <c r="E1660" s="453"/>
    </row>
    <row r="1661" spans="3:5" ht="15">
      <c r="C1661" s="453"/>
      <c r="D1661" s="453"/>
      <c r="E1661" s="453"/>
    </row>
    <row r="1662" spans="3:5" ht="15">
      <c r="C1662" s="453"/>
      <c r="D1662" s="453"/>
      <c r="E1662" s="453"/>
    </row>
    <row r="1663" spans="3:5" ht="15">
      <c r="C1663" s="453"/>
      <c r="D1663" s="453"/>
      <c r="E1663" s="453"/>
    </row>
    <row r="1664" spans="3:5" ht="15">
      <c r="C1664" s="453"/>
      <c r="D1664" s="453"/>
      <c r="E1664" s="453"/>
    </row>
    <row r="1665" spans="3:5" ht="15">
      <c r="C1665" s="453"/>
      <c r="D1665" s="453"/>
      <c r="E1665" s="453"/>
    </row>
    <row r="1666" spans="3:5" ht="15">
      <c r="C1666" s="453"/>
      <c r="D1666" s="453"/>
      <c r="E1666" s="453"/>
    </row>
    <row r="1667" spans="3:5" ht="15">
      <c r="C1667" s="453"/>
      <c r="D1667" s="453"/>
      <c r="E1667" s="453"/>
    </row>
    <row r="1668" spans="3:5" ht="15">
      <c r="C1668" s="453"/>
      <c r="D1668" s="453"/>
      <c r="E1668" s="453"/>
    </row>
    <row r="1669" spans="3:5" ht="15">
      <c r="C1669" s="453"/>
      <c r="D1669" s="453"/>
      <c r="E1669" s="453"/>
    </row>
    <row r="1670" spans="3:5" ht="15">
      <c r="C1670" s="453"/>
      <c r="D1670" s="453"/>
      <c r="E1670" s="453"/>
    </row>
    <row r="1671" spans="3:5" ht="15">
      <c r="C1671" s="453"/>
      <c r="D1671" s="453"/>
      <c r="E1671" s="453"/>
    </row>
    <row r="1672" spans="3:5" ht="15">
      <c r="C1672" s="453"/>
      <c r="D1672" s="453"/>
      <c r="E1672" s="453"/>
    </row>
    <row r="1673" spans="3:5" ht="15">
      <c r="C1673" s="453"/>
      <c r="D1673" s="453"/>
      <c r="E1673" s="453"/>
    </row>
    <row r="1674" spans="3:5" ht="15">
      <c r="C1674" s="453"/>
      <c r="D1674" s="453"/>
      <c r="E1674" s="453"/>
    </row>
    <row r="1675" spans="3:5" ht="15">
      <c r="C1675" s="453"/>
      <c r="D1675" s="453"/>
      <c r="E1675" s="453"/>
    </row>
    <row r="1676" spans="3:5" ht="15">
      <c r="C1676" s="453"/>
      <c r="D1676" s="453"/>
      <c r="E1676" s="453"/>
    </row>
    <row r="1677" spans="3:5" ht="15">
      <c r="C1677" s="453"/>
      <c r="D1677" s="453"/>
      <c r="E1677" s="453"/>
    </row>
    <row r="1678" spans="3:5" ht="15">
      <c r="C1678" s="453"/>
      <c r="D1678" s="453"/>
      <c r="E1678" s="453"/>
    </row>
    <row r="1679" spans="3:5" ht="15">
      <c r="C1679" s="453"/>
      <c r="D1679" s="453"/>
      <c r="E1679" s="453"/>
    </row>
    <row r="1680" spans="3:5" ht="15">
      <c r="C1680" s="453"/>
      <c r="D1680" s="453"/>
      <c r="E1680" s="453"/>
    </row>
    <row r="1681" spans="3:5" ht="15">
      <c r="C1681" s="453"/>
      <c r="D1681" s="453"/>
      <c r="E1681" s="453"/>
    </row>
    <row r="1682" spans="3:5" ht="15">
      <c r="C1682" s="453"/>
      <c r="D1682" s="453"/>
      <c r="E1682" s="453"/>
    </row>
    <row r="1683" spans="3:5" ht="15">
      <c r="C1683" s="453"/>
      <c r="D1683" s="453"/>
      <c r="E1683" s="453"/>
    </row>
    <row r="1684" spans="3:5" ht="15">
      <c r="C1684" s="453"/>
      <c r="D1684" s="453"/>
      <c r="E1684" s="453"/>
    </row>
    <row r="1685" spans="3:5" ht="15">
      <c r="C1685" s="453"/>
      <c r="D1685" s="453"/>
      <c r="E1685" s="453"/>
    </row>
    <row r="1686" spans="3:5" ht="15">
      <c r="C1686" s="453"/>
      <c r="D1686" s="453"/>
      <c r="E1686" s="453"/>
    </row>
    <row r="1687" spans="3:5" ht="15">
      <c r="C1687" s="453"/>
      <c r="D1687" s="453"/>
      <c r="E1687" s="453"/>
    </row>
    <row r="1688" spans="3:5" ht="15">
      <c r="C1688" s="453"/>
      <c r="D1688" s="453"/>
      <c r="E1688" s="453"/>
    </row>
    <row r="1689" spans="3:5" ht="15">
      <c r="C1689" s="453"/>
      <c r="D1689" s="453"/>
      <c r="E1689" s="453"/>
    </row>
    <row r="1690" spans="3:5" ht="15">
      <c r="C1690" s="453"/>
      <c r="D1690" s="453"/>
      <c r="E1690" s="453"/>
    </row>
    <row r="1691" spans="3:5" ht="15">
      <c r="C1691" s="453"/>
      <c r="D1691" s="453"/>
      <c r="E1691" s="453"/>
    </row>
    <row r="1692" spans="3:5" ht="15">
      <c r="C1692" s="453"/>
      <c r="D1692" s="453"/>
      <c r="E1692" s="453"/>
    </row>
    <row r="1693" spans="3:5" ht="15">
      <c r="C1693" s="453"/>
      <c r="D1693" s="453"/>
      <c r="E1693" s="453"/>
    </row>
    <row r="1694" spans="3:5" ht="15">
      <c r="C1694" s="453"/>
      <c r="D1694" s="453"/>
      <c r="E1694" s="453"/>
    </row>
    <row r="1695" spans="3:5" ht="15">
      <c r="C1695" s="453"/>
      <c r="D1695" s="453"/>
      <c r="E1695" s="453"/>
    </row>
    <row r="1696" spans="3:5" ht="15">
      <c r="C1696" s="453"/>
      <c r="D1696" s="453"/>
      <c r="E1696" s="453"/>
    </row>
    <row r="1697" spans="3:5" ht="15">
      <c r="C1697" s="453"/>
      <c r="D1697" s="453"/>
      <c r="E1697" s="453"/>
    </row>
    <row r="1698" spans="3:5" ht="15">
      <c r="C1698" s="453"/>
      <c r="D1698" s="453"/>
      <c r="E1698" s="453"/>
    </row>
    <row r="1699" spans="3:5" ht="15">
      <c r="C1699" s="453"/>
      <c r="D1699" s="453"/>
      <c r="E1699" s="453"/>
    </row>
    <row r="1700" spans="3:5" ht="15">
      <c r="C1700" s="453"/>
      <c r="D1700" s="453"/>
      <c r="E1700" s="453"/>
    </row>
    <row r="1701" spans="3:5" ht="15">
      <c r="C1701" s="453"/>
      <c r="D1701" s="453"/>
      <c r="E1701" s="453"/>
    </row>
    <row r="1702" spans="3:5" ht="15">
      <c r="C1702" s="453"/>
      <c r="D1702" s="453"/>
      <c r="E1702" s="453"/>
    </row>
    <row r="1703" spans="3:5" ht="15">
      <c r="C1703" s="453"/>
      <c r="D1703" s="453"/>
      <c r="E1703" s="453"/>
    </row>
    <row r="1704" spans="3:5" ht="15">
      <c r="C1704" s="453"/>
      <c r="D1704" s="453"/>
      <c r="E1704" s="453"/>
    </row>
    <row r="1705" spans="3:5" ht="15">
      <c r="C1705" s="453"/>
      <c r="D1705" s="453"/>
      <c r="E1705" s="453"/>
    </row>
    <row r="1706" spans="3:5" ht="15">
      <c r="C1706" s="453"/>
      <c r="D1706" s="453"/>
      <c r="E1706" s="453"/>
    </row>
    <row r="1707" spans="3:5" ht="15">
      <c r="C1707" s="453"/>
      <c r="D1707" s="453"/>
      <c r="E1707" s="453"/>
    </row>
    <row r="1708" spans="3:5" ht="15">
      <c r="C1708" s="453"/>
      <c r="D1708" s="453"/>
      <c r="E1708" s="453"/>
    </row>
    <row r="1709" spans="3:5" ht="15">
      <c r="C1709" s="453"/>
      <c r="D1709" s="453"/>
      <c r="E1709" s="453"/>
    </row>
    <row r="1710" spans="3:5" ht="15">
      <c r="C1710" s="453"/>
      <c r="D1710" s="453"/>
      <c r="E1710" s="453"/>
    </row>
    <row r="1711" spans="3:5" ht="15">
      <c r="C1711" s="453"/>
      <c r="D1711" s="453"/>
      <c r="E1711" s="453"/>
    </row>
    <row r="1712" spans="3:5" ht="15">
      <c r="C1712" s="453"/>
      <c r="D1712" s="453"/>
      <c r="E1712" s="453"/>
    </row>
    <row r="1713" spans="3:5" ht="15">
      <c r="C1713" s="453"/>
      <c r="D1713" s="453"/>
      <c r="E1713" s="453"/>
    </row>
    <row r="1714" spans="3:5" ht="15">
      <c r="C1714" s="453"/>
      <c r="D1714" s="453"/>
      <c r="E1714" s="453"/>
    </row>
    <row r="1715" spans="3:5" ht="15">
      <c r="C1715" s="453"/>
      <c r="D1715" s="453"/>
      <c r="E1715" s="453"/>
    </row>
    <row r="1716" spans="3:5" ht="15">
      <c r="C1716" s="453"/>
      <c r="D1716" s="453"/>
      <c r="E1716" s="453"/>
    </row>
    <row r="1717" spans="3:5" ht="15">
      <c r="C1717" s="453"/>
      <c r="D1717" s="453"/>
      <c r="E1717" s="453"/>
    </row>
    <row r="1718" spans="3:5" ht="15">
      <c r="C1718" s="453"/>
      <c r="D1718" s="453"/>
      <c r="E1718" s="453"/>
    </row>
    <row r="1719" spans="3:5" ht="15">
      <c r="C1719" s="453"/>
      <c r="D1719" s="453"/>
      <c r="E1719" s="453"/>
    </row>
    <row r="1720" spans="3:5" ht="15">
      <c r="C1720" s="453"/>
      <c r="D1720" s="453"/>
      <c r="E1720" s="453"/>
    </row>
    <row r="1721" spans="3:5" ht="15">
      <c r="C1721" s="453"/>
      <c r="D1721" s="453"/>
      <c r="E1721" s="453"/>
    </row>
    <row r="1722" spans="3:5" ht="15">
      <c r="C1722" s="453"/>
      <c r="D1722" s="453"/>
      <c r="E1722" s="453"/>
    </row>
    <row r="1723" spans="3:5" ht="15">
      <c r="C1723" s="453"/>
      <c r="D1723" s="453"/>
      <c r="E1723" s="453"/>
    </row>
    <row r="1724" spans="3:5" ht="15">
      <c r="C1724" s="453"/>
      <c r="D1724" s="453"/>
      <c r="E1724" s="453"/>
    </row>
    <row r="1725" spans="3:5" ht="15">
      <c r="C1725" s="453"/>
      <c r="D1725" s="453"/>
      <c r="E1725" s="453"/>
    </row>
    <row r="1726" spans="3:5" ht="15">
      <c r="C1726" s="453"/>
      <c r="D1726" s="453"/>
      <c r="E1726" s="453"/>
    </row>
    <row r="1727" spans="3:5" ht="15">
      <c r="C1727" s="453"/>
      <c r="D1727" s="453"/>
      <c r="E1727" s="453"/>
    </row>
    <row r="1728" spans="3:5" ht="15">
      <c r="C1728" s="453"/>
      <c r="D1728" s="453"/>
      <c r="E1728" s="453"/>
    </row>
    <row r="1729" spans="3:5" ht="15">
      <c r="C1729" s="453"/>
      <c r="D1729" s="453"/>
      <c r="E1729" s="453"/>
    </row>
    <row r="1730" spans="3:5" ht="15">
      <c r="C1730" s="453"/>
      <c r="D1730" s="453"/>
      <c r="E1730" s="453"/>
    </row>
    <row r="1731" spans="3:5" ht="15">
      <c r="C1731" s="453"/>
      <c r="D1731" s="453"/>
      <c r="E1731" s="453"/>
    </row>
    <row r="1732" spans="3:5" ht="15">
      <c r="C1732" s="453"/>
      <c r="D1732" s="453"/>
      <c r="E1732" s="453"/>
    </row>
    <row r="1733" spans="3:5" ht="15">
      <c r="C1733" s="453"/>
      <c r="D1733" s="453"/>
      <c r="E1733" s="453"/>
    </row>
    <row r="1734" spans="3:5" ht="15">
      <c r="C1734" s="453"/>
      <c r="D1734" s="453"/>
      <c r="E1734" s="453"/>
    </row>
    <row r="1735" spans="3:5" ht="15">
      <c r="C1735" s="453"/>
      <c r="D1735" s="453"/>
      <c r="E1735" s="453"/>
    </row>
    <row r="1736" spans="3:5" ht="15">
      <c r="C1736" s="453"/>
      <c r="D1736" s="453"/>
      <c r="E1736" s="453"/>
    </row>
    <row r="1737" spans="3:5" ht="15">
      <c r="C1737" s="453"/>
      <c r="D1737" s="453"/>
      <c r="E1737" s="453"/>
    </row>
    <row r="1738" spans="3:5" ht="15">
      <c r="C1738" s="453"/>
      <c r="D1738" s="453"/>
      <c r="E1738" s="453"/>
    </row>
    <row r="1739" spans="3:5" ht="15">
      <c r="C1739" s="453"/>
      <c r="D1739" s="453"/>
      <c r="E1739" s="453"/>
    </row>
    <row r="1740" spans="3:5" ht="15">
      <c r="C1740" s="453"/>
      <c r="D1740" s="453"/>
      <c r="E1740" s="453"/>
    </row>
    <row r="1741" spans="3:5" ht="15">
      <c r="C1741" s="453"/>
      <c r="D1741" s="453"/>
      <c r="E1741" s="453"/>
    </row>
    <row r="1742" spans="3:5" ht="15">
      <c r="C1742" s="453"/>
      <c r="D1742" s="453"/>
      <c r="E1742" s="453"/>
    </row>
    <row r="1743" spans="3:5" ht="15">
      <c r="C1743" s="453"/>
      <c r="D1743" s="453"/>
      <c r="E1743" s="453"/>
    </row>
    <row r="1744" spans="3:5" ht="15">
      <c r="C1744" s="453"/>
      <c r="D1744" s="453"/>
      <c r="E1744" s="453"/>
    </row>
    <row r="1745" spans="3:5" ht="15">
      <c r="C1745" s="453"/>
      <c r="D1745" s="453"/>
      <c r="E1745" s="453"/>
    </row>
    <row r="1746" spans="3:5" ht="15">
      <c r="C1746" s="453"/>
      <c r="D1746" s="453"/>
      <c r="E1746" s="453"/>
    </row>
    <row r="1747" spans="3:5" ht="15">
      <c r="C1747" s="453"/>
      <c r="D1747" s="453"/>
      <c r="E1747" s="453"/>
    </row>
    <row r="1748" spans="3:5" ht="15">
      <c r="C1748" s="453"/>
      <c r="D1748" s="453"/>
      <c r="E1748" s="453"/>
    </row>
    <row r="1749" spans="3:5" ht="15">
      <c r="C1749" s="453"/>
      <c r="D1749" s="453"/>
      <c r="E1749" s="453"/>
    </row>
    <row r="1750" spans="3:5" ht="15">
      <c r="C1750" s="453"/>
      <c r="D1750" s="453"/>
      <c r="E1750" s="453"/>
    </row>
    <row r="1751" spans="3:5" ht="15">
      <c r="C1751" s="453"/>
      <c r="D1751" s="453"/>
      <c r="E1751" s="453"/>
    </row>
    <row r="1752" spans="3:5" ht="15">
      <c r="C1752" s="453"/>
      <c r="D1752" s="453"/>
      <c r="E1752" s="453"/>
    </row>
    <row r="1753" spans="3:5" ht="15">
      <c r="C1753" s="453"/>
      <c r="D1753" s="453"/>
      <c r="E1753" s="453"/>
    </row>
    <row r="1754" spans="3:5" ht="15">
      <c r="C1754" s="453"/>
      <c r="D1754" s="453"/>
      <c r="E1754" s="453"/>
    </row>
    <row r="1755" spans="3:5" ht="15">
      <c r="C1755" s="453"/>
      <c r="D1755" s="453"/>
      <c r="E1755" s="453"/>
    </row>
    <row r="1756" spans="3:5" ht="15">
      <c r="C1756" s="453"/>
      <c r="D1756" s="453"/>
      <c r="E1756" s="453"/>
    </row>
    <row r="1757" spans="3:5" ht="15">
      <c r="C1757" s="453"/>
      <c r="D1757" s="453"/>
      <c r="E1757" s="453"/>
    </row>
    <row r="1758" spans="3:5" ht="15">
      <c r="C1758" s="453"/>
      <c r="D1758" s="453"/>
      <c r="E1758" s="453"/>
    </row>
    <row r="1759" spans="3:5" ht="15">
      <c r="C1759" s="453"/>
      <c r="D1759" s="453"/>
      <c r="E1759" s="453"/>
    </row>
    <row r="1760" spans="3:5" ht="15">
      <c r="C1760" s="453"/>
      <c r="D1760" s="453"/>
      <c r="E1760" s="453"/>
    </row>
    <row r="1761" spans="3:5" ht="15">
      <c r="C1761" s="453"/>
      <c r="D1761" s="453"/>
      <c r="E1761" s="453"/>
    </row>
    <row r="1762" spans="3:5" ht="15">
      <c r="C1762" s="453"/>
      <c r="D1762" s="453"/>
      <c r="E1762" s="453"/>
    </row>
    <row r="1763" spans="3:5" ht="15">
      <c r="C1763" s="453"/>
      <c r="D1763" s="453"/>
      <c r="E1763" s="453"/>
    </row>
    <row r="1764" spans="3:5" ht="15">
      <c r="C1764" s="453"/>
      <c r="D1764" s="453"/>
      <c r="E1764" s="453"/>
    </row>
    <row r="1765" spans="3:5" ht="15">
      <c r="C1765" s="453"/>
      <c r="D1765" s="453"/>
      <c r="E1765" s="453"/>
    </row>
    <row r="1766" spans="3:5" ht="15">
      <c r="C1766" s="453"/>
      <c r="D1766" s="453"/>
      <c r="E1766" s="453"/>
    </row>
    <row r="1767" spans="3:5" ht="15">
      <c r="C1767" s="453"/>
      <c r="D1767" s="453"/>
      <c r="E1767" s="453"/>
    </row>
    <row r="1768" spans="3:5" ht="15">
      <c r="C1768" s="453"/>
      <c r="D1768" s="453"/>
      <c r="E1768" s="453"/>
    </row>
    <row r="1769" spans="3:5" ht="15">
      <c r="C1769" s="453"/>
      <c r="D1769" s="453"/>
      <c r="E1769" s="453"/>
    </row>
    <row r="1770" spans="3:5" ht="15">
      <c r="C1770" s="453"/>
      <c r="D1770" s="453"/>
      <c r="E1770" s="453"/>
    </row>
    <row r="1771" spans="3:5" ht="15">
      <c r="C1771" s="453"/>
      <c r="D1771" s="453"/>
      <c r="E1771" s="453"/>
    </row>
    <row r="1772" spans="3:5" ht="15">
      <c r="C1772" s="453"/>
      <c r="D1772" s="453"/>
      <c r="E1772" s="453"/>
    </row>
    <row r="1773" spans="3:5" ht="15">
      <c r="C1773" s="453"/>
      <c r="D1773" s="453"/>
      <c r="E1773" s="453"/>
    </row>
    <row r="1774" spans="3:5" ht="15">
      <c r="C1774" s="453"/>
      <c r="D1774" s="453"/>
      <c r="E1774" s="453"/>
    </row>
    <row r="1775" spans="3:5" ht="15">
      <c r="C1775" s="453"/>
      <c r="D1775" s="453"/>
      <c r="E1775" s="453"/>
    </row>
    <row r="1776" spans="3:5" ht="15">
      <c r="C1776" s="453"/>
      <c r="D1776" s="453"/>
      <c r="E1776" s="453"/>
    </row>
    <row r="1777" spans="3:5" ht="15">
      <c r="C1777" s="453"/>
      <c r="D1777" s="453"/>
      <c r="E1777" s="453"/>
    </row>
    <row r="1778" spans="3:5" ht="15">
      <c r="C1778" s="453"/>
      <c r="D1778" s="453"/>
      <c r="E1778" s="453"/>
    </row>
    <row r="1779" spans="3:5" ht="15">
      <c r="C1779" s="453"/>
      <c r="D1779" s="453"/>
      <c r="E1779" s="453"/>
    </row>
    <row r="1780" spans="3:5" ht="15">
      <c r="C1780" s="453"/>
      <c r="D1780" s="453"/>
      <c r="E1780" s="453"/>
    </row>
    <row r="1781" spans="3:5" ht="15">
      <c r="C1781" s="453"/>
      <c r="D1781" s="453"/>
      <c r="E1781" s="453"/>
    </row>
    <row r="1782" spans="3:5" ht="15">
      <c r="C1782" s="453"/>
      <c r="D1782" s="453"/>
      <c r="E1782" s="453"/>
    </row>
    <row r="1783" spans="3:5" ht="15">
      <c r="C1783" s="453"/>
      <c r="D1783" s="453"/>
      <c r="E1783" s="453"/>
    </row>
    <row r="1784" spans="3:5" ht="15">
      <c r="C1784" s="453"/>
      <c r="D1784" s="453"/>
      <c r="E1784" s="453"/>
    </row>
    <row r="1785" spans="3:5" ht="15">
      <c r="C1785" s="453"/>
      <c r="D1785" s="453"/>
      <c r="E1785" s="453"/>
    </row>
    <row r="1786" spans="3:5" ht="15">
      <c r="C1786" s="453"/>
      <c r="D1786" s="453"/>
      <c r="E1786" s="453"/>
    </row>
    <row r="1787" spans="3:5" ht="15">
      <c r="C1787" s="453"/>
      <c r="D1787" s="453"/>
      <c r="E1787" s="453"/>
    </row>
    <row r="1788" spans="3:5" ht="15">
      <c r="C1788" s="453"/>
      <c r="D1788" s="453"/>
      <c r="E1788" s="453"/>
    </row>
    <row r="1789" spans="3:5" ht="15">
      <c r="C1789" s="453"/>
      <c r="D1789" s="453"/>
      <c r="E1789" s="453"/>
    </row>
    <row r="1790" spans="3:5" ht="15">
      <c r="C1790" s="453"/>
      <c r="D1790" s="453"/>
      <c r="E1790" s="453"/>
    </row>
    <row r="1791" spans="3:5" ht="15">
      <c r="C1791" s="453"/>
      <c r="D1791" s="453"/>
      <c r="E1791" s="453"/>
    </row>
    <row r="1792" spans="3:5" ht="15">
      <c r="C1792" s="453"/>
      <c r="D1792" s="453"/>
      <c r="E1792" s="453"/>
    </row>
    <row r="1793" spans="3:5" ht="15">
      <c r="C1793" s="453"/>
      <c r="D1793" s="453"/>
      <c r="E1793" s="453"/>
    </row>
    <row r="1794" spans="3:5" ht="15">
      <c r="C1794" s="453"/>
      <c r="D1794" s="453"/>
      <c r="E1794" s="453"/>
    </row>
    <row r="1795" spans="3:5" ht="15">
      <c r="C1795" s="453"/>
      <c r="D1795" s="453"/>
      <c r="E1795" s="453"/>
    </row>
    <row r="1796" spans="3:5" ht="15">
      <c r="C1796" s="453"/>
      <c r="D1796" s="453"/>
      <c r="E1796" s="453"/>
    </row>
    <row r="1797" spans="3:5" ht="15">
      <c r="C1797" s="453"/>
      <c r="D1797" s="453"/>
      <c r="E1797" s="453"/>
    </row>
    <row r="1798" spans="3:5" ht="15">
      <c r="C1798" s="453"/>
      <c r="D1798" s="453"/>
      <c r="E1798" s="453"/>
    </row>
    <row r="1799" spans="3:5" ht="15">
      <c r="C1799" s="453"/>
      <c r="D1799" s="453"/>
      <c r="E1799" s="453"/>
    </row>
    <row r="1800" spans="3:5" ht="15">
      <c r="C1800" s="453"/>
      <c r="D1800" s="453"/>
      <c r="E1800" s="453"/>
    </row>
    <row r="1801" spans="3:5" ht="15">
      <c r="C1801" s="453"/>
      <c r="D1801" s="453"/>
      <c r="E1801" s="453"/>
    </row>
    <row r="1802" spans="3:5" ht="15">
      <c r="C1802" s="453"/>
      <c r="D1802" s="453"/>
      <c r="E1802" s="453"/>
    </row>
    <row r="1803" spans="3:5" ht="15">
      <c r="C1803" s="453"/>
      <c r="D1803" s="453"/>
      <c r="E1803" s="453"/>
    </row>
    <row r="1804" spans="3:5" ht="15">
      <c r="C1804" s="453"/>
      <c r="D1804" s="453"/>
      <c r="E1804" s="453"/>
    </row>
    <row r="1805" spans="3:5" ht="15">
      <c r="C1805" s="453"/>
      <c r="D1805" s="453"/>
      <c r="E1805" s="453"/>
    </row>
    <row r="1806" spans="3:5" ht="15">
      <c r="C1806" s="453"/>
      <c r="D1806" s="453"/>
      <c r="E1806" s="453"/>
    </row>
    <row r="1807" spans="3:5" ht="15">
      <c r="C1807" s="453"/>
      <c r="D1807" s="453"/>
      <c r="E1807" s="453"/>
    </row>
    <row r="1808" spans="3:5" ht="15">
      <c r="C1808" s="453"/>
      <c r="D1808" s="453"/>
      <c r="E1808" s="453"/>
    </row>
    <row r="1809" spans="3:5" ht="15">
      <c r="C1809" s="453"/>
      <c r="D1809" s="453"/>
      <c r="E1809" s="453"/>
    </row>
    <row r="1810" spans="3:5" ht="15">
      <c r="C1810" s="453"/>
      <c r="D1810" s="453"/>
      <c r="E1810" s="453"/>
    </row>
    <row r="1811" spans="3:5" ht="15">
      <c r="C1811" s="453"/>
      <c r="D1811" s="453"/>
      <c r="E1811" s="453"/>
    </row>
    <row r="1812" spans="3:5" ht="15">
      <c r="C1812" s="453"/>
      <c r="D1812" s="453"/>
      <c r="E1812" s="453"/>
    </row>
    <row r="1813" spans="3:5" ht="15">
      <c r="C1813" s="453"/>
      <c r="D1813" s="453"/>
      <c r="E1813" s="453"/>
    </row>
    <row r="1814" spans="3:5" ht="15">
      <c r="C1814" s="453"/>
      <c r="D1814" s="453"/>
      <c r="E1814" s="453"/>
    </row>
    <row r="1815" spans="3:5" ht="15">
      <c r="C1815" s="453"/>
      <c r="D1815" s="453"/>
      <c r="E1815" s="453"/>
    </row>
    <row r="1816" spans="3:5" ht="15">
      <c r="C1816" s="453"/>
      <c r="D1816" s="453"/>
      <c r="E1816" s="453"/>
    </row>
    <row r="1817" spans="3:5" ht="15">
      <c r="C1817" s="453"/>
      <c r="D1817" s="453"/>
      <c r="E1817" s="453"/>
    </row>
    <row r="1818" spans="3:5" ht="15">
      <c r="C1818" s="453"/>
      <c r="D1818" s="453"/>
      <c r="E1818" s="453"/>
    </row>
    <row r="1819" spans="3:5" ht="15">
      <c r="C1819" s="453"/>
      <c r="D1819" s="453"/>
      <c r="E1819" s="453"/>
    </row>
    <row r="1820" spans="3:5" ht="15">
      <c r="C1820" s="453"/>
      <c r="D1820" s="453"/>
      <c r="E1820" s="453"/>
    </row>
    <row r="1821" spans="3:5" ht="15">
      <c r="C1821" s="453"/>
      <c r="D1821" s="453"/>
      <c r="E1821" s="453"/>
    </row>
    <row r="1822" spans="3:5" ht="15">
      <c r="C1822" s="453"/>
      <c r="D1822" s="453"/>
      <c r="E1822" s="453"/>
    </row>
    <row r="1823" spans="3:5" ht="15">
      <c r="C1823" s="453"/>
      <c r="D1823" s="453"/>
      <c r="E1823" s="453"/>
    </row>
    <row r="1824" spans="3:5" ht="15">
      <c r="C1824" s="453"/>
      <c r="D1824" s="453"/>
      <c r="E1824" s="453"/>
    </row>
    <row r="1825" spans="3:5" ht="15">
      <c r="C1825" s="453"/>
      <c r="D1825" s="453"/>
      <c r="E1825" s="453"/>
    </row>
    <row r="1826" spans="3:5" ht="15">
      <c r="C1826" s="453"/>
      <c r="D1826" s="453"/>
      <c r="E1826" s="453"/>
    </row>
    <row r="1827" spans="3:5" ht="15">
      <c r="C1827" s="453"/>
      <c r="D1827" s="453"/>
      <c r="E1827" s="453"/>
    </row>
    <row r="1828" spans="3:5" ht="15">
      <c r="C1828" s="453"/>
      <c r="D1828" s="453"/>
      <c r="E1828" s="453"/>
    </row>
    <row r="1829" spans="3:5" ht="15">
      <c r="C1829" s="453"/>
      <c r="D1829" s="453"/>
      <c r="E1829" s="453"/>
    </row>
    <row r="1830" spans="3:5" ht="15">
      <c r="C1830" s="453"/>
      <c r="D1830" s="453"/>
      <c r="E1830" s="453"/>
    </row>
    <row r="1831" spans="3:5" ht="15">
      <c r="C1831" s="453"/>
      <c r="D1831" s="453"/>
      <c r="E1831" s="453"/>
    </row>
    <row r="1832" spans="3:5" ht="15">
      <c r="C1832" s="453"/>
      <c r="D1832" s="453"/>
      <c r="E1832" s="453"/>
    </row>
    <row r="1833" spans="3:5" ht="15">
      <c r="C1833" s="453"/>
      <c r="D1833" s="453"/>
      <c r="E1833" s="453"/>
    </row>
    <row r="1834" spans="3:5" ht="15">
      <c r="C1834" s="453"/>
      <c r="D1834" s="453"/>
      <c r="E1834" s="453"/>
    </row>
    <row r="1835" spans="3:5" ht="15">
      <c r="C1835" s="453"/>
      <c r="D1835" s="453"/>
      <c r="E1835" s="453"/>
    </row>
    <row r="1836" spans="3:5" ht="15">
      <c r="C1836" s="453"/>
      <c r="D1836" s="453"/>
      <c r="E1836" s="453"/>
    </row>
    <row r="1837" spans="3:5" ht="15">
      <c r="C1837" s="453"/>
      <c r="D1837" s="453"/>
      <c r="E1837" s="453"/>
    </row>
    <row r="1838" spans="3:5" ht="15">
      <c r="C1838" s="453"/>
      <c r="D1838" s="453"/>
      <c r="E1838" s="453"/>
    </row>
    <row r="1839" spans="3:5" ht="15">
      <c r="C1839" s="453"/>
      <c r="D1839" s="453"/>
      <c r="E1839" s="453"/>
    </row>
    <row r="1840" spans="3:5" ht="15">
      <c r="C1840" s="453"/>
      <c r="D1840" s="453"/>
      <c r="E1840" s="453"/>
    </row>
    <row r="1841" spans="3:5" ht="15">
      <c r="C1841" s="453"/>
      <c r="D1841" s="453"/>
      <c r="E1841" s="453"/>
    </row>
    <row r="1842" spans="3:5" ht="15">
      <c r="C1842" s="453"/>
      <c r="D1842" s="453"/>
      <c r="E1842" s="453"/>
    </row>
    <row r="1843" spans="3:5" ht="15">
      <c r="C1843" s="453"/>
      <c r="D1843" s="453"/>
      <c r="E1843" s="453"/>
    </row>
    <row r="1844" spans="3:5" ht="15">
      <c r="C1844" s="453"/>
      <c r="D1844" s="453"/>
      <c r="E1844" s="453"/>
    </row>
    <row r="1845" spans="3:5" ht="15">
      <c r="C1845" s="453"/>
      <c r="D1845" s="453"/>
      <c r="E1845" s="453"/>
    </row>
    <row r="1846" spans="3:5" ht="15">
      <c r="C1846" s="453"/>
      <c r="D1846" s="453"/>
      <c r="E1846" s="453"/>
    </row>
    <row r="1847" spans="3:5" ht="15">
      <c r="C1847" s="453"/>
      <c r="D1847" s="453"/>
      <c r="E1847" s="453"/>
    </row>
    <row r="1848" spans="3:5" ht="15">
      <c r="C1848" s="453"/>
      <c r="D1848" s="453"/>
      <c r="E1848" s="453"/>
    </row>
    <row r="1849" spans="3:5" ht="15">
      <c r="C1849" s="453"/>
      <c r="D1849" s="453"/>
      <c r="E1849" s="453"/>
    </row>
    <row r="1850" spans="3:5" ht="15">
      <c r="C1850" s="453"/>
      <c r="D1850" s="453"/>
      <c r="E1850" s="453"/>
    </row>
    <row r="1851" spans="3:5" ht="15">
      <c r="C1851" s="453"/>
      <c r="D1851" s="453"/>
      <c r="E1851" s="453"/>
    </row>
    <row r="1852" spans="3:5" ht="15">
      <c r="C1852" s="453"/>
      <c r="D1852" s="453"/>
      <c r="E1852" s="453"/>
    </row>
    <row r="1853" spans="3:5" ht="15">
      <c r="C1853" s="453"/>
      <c r="D1853" s="453"/>
      <c r="E1853" s="453"/>
    </row>
    <row r="1854" spans="3:5" ht="15">
      <c r="C1854" s="453"/>
      <c r="D1854" s="453"/>
      <c r="E1854" s="453"/>
    </row>
    <row r="1855" spans="3:5" ht="15">
      <c r="C1855" s="453"/>
      <c r="D1855" s="453"/>
      <c r="E1855" s="453"/>
    </row>
    <row r="1856" spans="3:5" ht="15">
      <c r="C1856" s="453"/>
      <c r="D1856" s="453"/>
      <c r="E1856" s="453"/>
    </row>
    <row r="1857" spans="3:5" ht="15">
      <c r="C1857" s="453"/>
      <c r="D1857" s="453"/>
      <c r="E1857" s="453"/>
    </row>
    <row r="1858" spans="3:5" ht="15">
      <c r="C1858" s="453"/>
      <c r="D1858" s="453"/>
      <c r="E1858" s="453"/>
    </row>
    <row r="1859" spans="3:5" ht="15">
      <c r="C1859" s="453"/>
      <c r="D1859" s="453"/>
      <c r="E1859" s="453"/>
    </row>
    <row r="1860" spans="3:5" ht="15">
      <c r="C1860" s="453"/>
      <c r="D1860" s="453"/>
      <c r="E1860" s="453"/>
    </row>
    <row r="1861" spans="3:5" ht="15">
      <c r="C1861" s="453"/>
      <c r="D1861" s="453"/>
      <c r="E1861" s="453"/>
    </row>
    <row r="1862" spans="3:5" ht="15">
      <c r="C1862" s="453"/>
      <c r="D1862" s="453"/>
      <c r="E1862" s="453"/>
    </row>
    <row r="1863" spans="3:5" ht="15">
      <c r="C1863" s="453"/>
      <c r="D1863" s="453"/>
      <c r="E1863" s="453"/>
    </row>
    <row r="1864" spans="3:5" ht="15">
      <c r="C1864" s="453"/>
      <c r="D1864" s="453"/>
      <c r="E1864" s="453"/>
    </row>
    <row r="1865" spans="3:5" ht="15">
      <c r="C1865" s="453"/>
      <c r="D1865" s="453"/>
      <c r="E1865" s="453"/>
    </row>
    <row r="1866" spans="3:5" ht="15">
      <c r="C1866" s="453"/>
      <c r="D1866" s="453"/>
      <c r="E1866" s="453"/>
    </row>
    <row r="1867" spans="3:5" ht="15">
      <c r="C1867" s="453"/>
      <c r="D1867" s="453"/>
      <c r="E1867" s="453"/>
    </row>
    <row r="1868" spans="3:5" ht="15">
      <c r="C1868" s="453"/>
      <c r="D1868" s="453"/>
      <c r="E1868" s="453"/>
    </row>
    <row r="1869" spans="3:5" ht="15">
      <c r="C1869" s="453"/>
      <c r="D1869" s="453"/>
      <c r="E1869" s="453"/>
    </row>
    <row r="1870" spans="3:5" ht="15">
      <c r="C1870" s="453"/>
      <c r="D1870" s="453"/>
      <c r="E1870" s="453"/>
    </row>
    <row r="1871" spans="3:5" ht="15">
      <c r="C1871" s="453"/>
      <c r="D1871" s="453"/>
      <c r="E1871" s="453"/>
    </row>
    <row r="1872" spans="3:5" ht="15">
      <c r="C1872" s="453"/>
      <c r="D1872" s="453"/>
      <c r="E1872" s="453"/>
    </row>
    <row r="1873" spans="3:5" ht="15">
      <c r="C1873" s="453"/>
      <c r="D1873" s="453"/>
      <c r="E1873" s="453"/>
    </row>
    <row r="1874" spans="3:5" ht="15">
      <c r="C1874" s="453"/>
      <c r="D1874" s="453"/>
      <c r="E1874" s="453"/>
    </row>
    <row r="1875" spans="3:5" ht="15">
      <c r="C1875" s="453"/>
      <c r="D1875" s="453"/>
      <c r="E1875" s="453"/>
    </row>
    <row r="1876" spans="3:5" ht="15">
      <c r="C1876" s="453"/>
      <c r="D1876" s="453"/>
      <c r="E1876" s="453"/>
    </row>
    <row r="1877" spans="3:5" ht="15">
      <c r="C1877" s="453"/>
      <c r="D1877" s="453"/>
      <c r="E1877" s="453"/>
    </row>
    <row r="1878" spans="3:5" ht="15">
      <c r="C1878" s="453"/>
      <c r="D1878" s="453"/>
      <c r="E1878" s="453"/>
    </row>
    <row r="1879" spans="3:5" ht="15">
      <c r="C1879" s="453"/>
      <c r="D1879" s="453"/>
      <c r="E1879" s="453"/>
    </row>
    <row r="1880" spans="3:5" ht="15">
      <c r="C1880" s="453"/>
      <c r="D1880" s="453"/>
      <c r="E1880" s="453"/>
    </row>
    <row r="1881" spans="3:5" ht="15">
      <c r="C1881" s="453"/>
      <c r="D1881" s="453"/>
      <c r="E1881" s="453"/>
    </row>
    <row r="1882" spans="3:5" ht="15">
      <c r="C1882" s="453"/>
      <c r="D1882" s="453"/>
      <c r="E1882" s="453"/>
    </row>
    <row r="1883" spans="3:5" ht="15">
      <c r="C1883" s="453"/>
      <c r="D1883" s="453"/>
      <c r="E1883" s="453"/>
    </row>
    <row r="1884" spans="3:5" ht="15">
      <c r="C1884" s="453"/>
      <c r="D1884" s="453"/>
      <c r="E1884" s="453"/>
    </row>
    <row r="1885" spans="3:5" ht="15">
      <c r="C1885" s="453"/>
      <c r="D1885" s="453"/>
      <c r="E1885" s="453"/>
    </row>
    <row r="1886" spans="3:5" ht="15">
      <c r="C1886" s="453"/>
      <c r="D1886" s="453"/>
      <c r="E1886" s="453"/>
    </row>
    <row r="1887" spans="3:5" ht="15">
      <c r="C1887" s="453"/>
      <c r="D1887" s="453"/>
      <c r="E1887" s="453"/>
    </row>
    <row r="1888" spans="3:5" ht="15">
      <c r="C1888" s="453"/>
      <c r="D1888" s="453"/>
      <c r="E1888" s="453"/>
    </row>
    <row r="1889" spans="3:5" ht="15">
      <c r="C1889" s="453"/>
      <c r="D1889" s="453"/>
      <c r="E1889" s="453"/>
    </row>
    <row r="1890" spans="3:5" ht="15">
      <c r="C1890" s="453"/>
      <c r="D1890" s="453"/>
      <c r="E1890" s="453"/>
    </row>
    <row r="1891" spans="3:5" ht="15">
      <c r="C1891" s="453"/>
      <c r="D1891" s="453"/>
      <c r="E1891" s="453"/>
    </row>
    <row r="1892" spans="3:5" ht="15">
      <c r="C1892" s="453"/>
      <c r="D1892" s="453"/>
      <c r="E1892" s="453"/>
    </row>
    <row r="1893" spans="3:5" ht="15">
      <c r="C1893" s="453"/>
      <c r="D1893" s="453"/>
      <c r="E1893" s="453"/>
    </row>
    <row r="1894" spans="3:5" ht="15">
      <c r="C1894" s="453"/>
      <c r="D1894" s="453"/>
      <c r="E1894" s="453"/>
    </row>
    <row r="1895" spans="3:5" ht="15">
      <c r="C1895" s="453"/>
      <c r="D1895" s="453"/>
      <c r="E1895" s="453"/>
    </row>
    <row r="1896" spans="3:5" ht="15">
      <c r="C1896" s="453"/>
      <c r="D1896" s="453"/>
      <c r="E1896" s="453"/>
    </row>
    <row r="1897" spans="3:5" ht="15">
      <c r="C1897" s="453"/>
      <c r="D1897" s="453"/>
      <c r="E1897" s="453"/>
    </row>
    <row r="1898" spans="3:5" ht="15">
      <c r="C1898" s="453"/>
      <c r="D1898" s="453"/>
      <c r="E1898" s="453"/>
    </row>
    <row r="1899" spans="3:5" ht="15">
      <c r="C1899" s="453"/>
      <c r="D1899" s="453"/>
      <c r="E1899" s="453"/>
    </row>
    <row r="1900" spans="3:5" ht="15">
      <c r="C1900" s="453"/>
      <c r="D1900" s="453"/>
      <c r="E1900" s="453"/>
    </row>
    <row r="1901" spans="3:5" ht="15">
      <c r="C1901" s="453"/>
      <c r="D1901" s="453"/>
      <c r="E1901" s="453"/>
    </row>
    <row r="1902" spans="3:5" ht="15">
      <c r="C1902" s="453"/>
      <c r="D1902" s="453"/>
      <c r="E1902" s="453"/>
    </row>
    <row r="1903" spans="3:5" ht="15">
      <c r="C1903" s="453"/>
      <c r="D1903" s="453"/>
      <c r="E1903" s="453"/>
    </row>
    <row r="1904" spans="3:5" ht="15">
      <c r="C1904" s="453"/>
      <c r="D1904" s="453"/>
      <c r="E1904" s="453"/>
    </row>
    <row r="1905" spans="3:5" ht="15">
      <c r="C1905" s="453"/>
      <c r="D1905" s="453"/>
      <c r="E1905" s="453"/>
    </row>
    <row r="1906" spans="3:5" ht="15">
      <c r="C1906" s="453"/>
      <c r="D1906" s="453"/>
      <c r="E1906" s="453"/>
    </row>
    <row r="1907" spans="3:5" ht="15">
      <c r="C1907" s="453"/>
      <c r="D1907" s="453"/>
      <c r="E1907" s="453"/>
    </row>
    <row r="1908" spans="3:5" ht="15">
      <c r="C1908" s="453"/>
      <c r="D1908" s="453"/>
      <c r="E1908" s="453"/>
    </row>
    <row r="1909" spans="3:5" ht="15">
      <c r="C1909" s="453"/>
      <c r="D1909" s="453"/>
      <c r="E1909" s="453"/>
    </row>
    <row r="1910" spans="3:5" ht="15">
      <c r="C1910" s="453"/>
      <c r="D1910" s="453"/>
      <c r="E1910" s="453"/>
    </row>
    <row r="1911" spans="3:5" ht="15">
      <c r="C1911" s="453"/>
      <c r="D1911" s="453"/>
      <c r="E1911" s="453"/>
    </row>
    <row r="1912" spans="3:5" ht="15">
      <c r="C1912" s="453"/>
      <c r="D1912" s="453"/>
      <c r="E1912" s="453"/>
    </row>
    <row r="1913" spans="3:5" ht="15">
      <c r="C1913" s="453"/>
      <c r="D1913" s="453"/>
      <c r="E1913" s="453"/>
    </row>
    <row r="1914" spans="3:5" ht="15">
      <c r="C1914" s="453"/>
      <c r="D1914" s="453"/>
      <c r="E1914" s="453"/>
    </row>
    <row r="1915" spans="3:5" ht="15">
      <c r="C1915" s="453"/>
      <c r="D1915" s="453"/>
      <c r="E1915" s="453"/>
    </row>
    <row r="1916" spans="3:5" ht="15">
      <c r="C1916" s="453"/>
      <c r="D1916" s="453"/>
      <c r="E1916" s="453"/>
    </row>
    <row r="1917" spans="3:5" ht="15">
      <c r="C1917" s="453"/>
      <c r="D1917" s="453"/>
      <c r="E1917" s="453"/>
    </row>
    <row r="1918" spans="3:5" ht="15">
      <c r="C1918" s="453"/>
      <c r="D1918" s="453"/>
      <c r="E1918" s="453"/>
    </row>
    <row r="1919" spans="3:5" ht="15">
      <c r="C1919" s="453"/>
      <c r="D1919" s="453"/>
      <c r="E1919" s="453"/>
    </row>
    <row r="1920" spans="3:5" ht="15">
      <c r="C1920" s="453"/>
      <c r="D1920" s="453"/>
      <c r="E1920" s="453"/>
    </row>
    <row r="1921" spans="3:5" ht="15">
      <c r="C1921" s="453"/>
      <c r="D1921" s="453"/>
      <c r="E1921" s="453"/>
    </row>
    <row r="1922" spans="3:5" ht="15">
      <c r="C1922" s="453"/>
      <c r="D1922" s="453"/>
      <c r="E1922" s="453"/>
    </row>
    <row r="1923" spans="3:5" ht="15">
      <c r="C1923" s="453"/>
      <c r="D1923" s="453"/>
      <c r="E1923" s="453"/>
    </row>
    <row r="1924" spans="3:5" ht="15">
      <c r="C1924" s="453"/>
      <c r="D1924" s="453"/>
      <c r="E1924" s="453"/>
    </row>
    <row r="1925" spans="3:5" ht="15">
      <c r="C1925" s="453"/>
      <c r="D1925" s="453"/>
      <c r="E1925" s="453"/>
    </row>
    <row r="1926" spans="3:5" ht="15">
      <c r="C1926" s="453"/>
      <c r="D1926" s="453"/>
      <c r="E1926" s="453"/>
    </row>
    <row r="1927" spans="3:5" ht="15">
      <c r="C1927" s="453"/>
      <c r="D1927" s="453"/>
      <c r="E1927" s="453"/>
    </row>
    <row r="1928" spans="3:5" ht="15">
      <c r="C1928" s="453"/>
      <c r="D1928" s="453"/>
      <c r="E1928" s="453"/>
    </row>
    <row r="1929" spans="3:5" ht="15">
      <c r="C1929" s="453"/>
      <c r="D1929" s="453"/>
      <c r="E1929" s="453"/>
    </row>
    <row r="1930" spans="3:5" ht="15">
      <c r="C1930" s="453"/>
      <c r="D1930" s="453"/>
      <c r="E1930" s="453"/>
    </row>
    <row r="1931" spans="3:5" ht="15">
      <c r="C1931" s="453"/>
      <c r="D1931" s="453"/>
      <c r="E1931" s="453"/>
    </row>
    <row r="1932" spans="3:5" ht="15">
      <c r="C1932" s="453"/>
      <c r="D1932" s="453"/>
      <c r="E1932" s="453"/>
    </row>
    <row r="1933" spans="3:5" ht="15">
      <c r="C1933" s="453"/>
      <c r="D1933" s="453"/>
      <c r="E1933" s="453"/>
    </row>
    <row r="1934" spans="3:5" ht="15">
      <c r="C1934" s="453"/>
      <c r="D1934" s="453"/>
      <c r="E1934" s="453"/>
    </row>
    <row r="1935" spans="3:5" ht="15">
      <c r="C1935" s="453"/>
      <c r="D1935" s="453"/>
      <c r="E1935" s="453"/>
    </row>
    <row r="1936" spans="3:5" ht="15">
      <c r="C1936" s="453"/>
      <c r="D1936" s="453"/>
      <c r="E1936" s="453"/>
    </row>
    <row r="1937" spans="3:5" ht="15">
      <c r="C1937" s="453"/>
      <c r="D1937" s="453"/>
      <c r="E1937" s="453"/>
    </row>
    <row r="1938" spans="3:5" ht="15">
      <c r="C1938" s="453"/>
      <c r="D1938" s="453"/>
      <c r="E1938" s="453"/>
    </row>
    <row r="1939" spans="3:5" ht="15">
      <c r="C1939" s="453"/>
      <c r="D1939" s="453"/>
      <c r="E1939" s="453"/>
    </row>
    <row r="1940" spans="3:5" ht="15">
      <c r="C1940" s="453"/>
      <c r="D1940" s="453"/>
      <c r="E1940" s="453"/>
    </row>
    <row r="1941" spans="3:5" ht="15">
      <c r="C1941" s="453"/>
      <c r="D1941" s="453"/>
      <c r="E1941" s="453"/>
    </row>
    <row r="1942" spans="3:5" ht="15">
      <c r="C1942" s="453"/>
      <c r="D1942" s="453"/>
      <c r="E1942" s="453"/>
    </row>
    <row r="1943" spans="3:5" ht="15">
      <c r="C1943" s="453"/>
      <c r="D1943" s="453"/>
      <c r="E1943" s="453"/>
    </row>
    <row r="1944" spans="3:5" ht="15">
      <c r="C1944" s="453"/>
      <c r="D1944" s="453"/>
      <c r="E1944" s="453"/>
    </row>
    <row r="1945" spans="3:5" ht="15">
      <c r="C1945" s="453"/>
      <c r="D1945" s="453"/>
      <c r="E1945" s="453"/>
    </row>
    <row r="1946" spans="3:5" ht="15">
      <c r="C1946" s="453"/>
      <c r="D1946" s="453"/>
      <c r="E1946" s="453"/>
    </row>
    <row r="1947" spans="3:5" ht="15">
      <c r="C1947" s="453"/>
      <c r="D1947" s="453"/>
      <c r="E1947" s="453"/>
    </row>
    <row r="1948" spans="3:5" ht="15">
      <c r="C1948" s="453"/>
      <c r="D1948" s="453"/>
      <c r="E1948" s="453"/>
    </row>
    <row r="1949" spans="3:5" ht="15">
      <c r="C1949" s="453"/>
      <c r="D1949" s="453"/>
      <c r="E1949" s="453"/>
    </row>
    <row r="1950" spans="3:5" ht="15">
      <c r="C1950" s="453"/>
      <c r="D1950" s="453"/>
      <c r="E1950" s="453"/>
    </row>
    <row r="1951" spans="3:5" ht="15">
      <c r="C1951" s="453"/>
      <c r="D1951" s="453"/>
      <c r="E1951" s="453"/>
    </row>
    <row r="1952" spans="3:5" ht="15">
      <c r="C1952" s="453"/>
      <c r="D1952" s="453"/>
      <c r="E1952" s="453"/>
    </row>
    <row r="1953" spans="3:5" ht="15">
      <c r="C1953" s="453"/>
      <c r="D1953" s="453"/>
      <c r="E1953" s="453"/>
    </row>
    <row r="1954" spans="3:5" ht="15">
      <c r="C1954" s="453"/>
      <c r="D1954" s="453"/>
      <c r="E1954" s="453"/>
    </row>
    <row r="1955" spans="3:5" ht="15">
      <c r="C1955" s="453"/>
      <c r="D1955" s="453"/>
      <c r="E1955" s="453"/>
    </row>
    <row r="1956" spans="3:5" ht="15">
      <c r="C1956" s="453"/>
      <c r="D1956" s="453"/>
      <c r="E1956" s="453"/>
    </row>
    <row r="1957" spans="3:5" ht="15">
      <c r="C1957" s="453"/>
      <c r="D1957" s="453"/>
      <c r="E1957" s="453"/>
    </row>
    <row r="1958" spans="3:5" ht="15">
      <c r="C1958" s="453"/>
      <c r="D1958" s="453"/>
      <c r="E1958" s="453"/>
    </row>
    <row r="1959" spans="3:5" ht="15">
      <c r="C1959" s="453"/>
      <c r="D1959" s="453"/>
      <c r="E1959" s="453"/>
    </row>
    <row r="1960" spans="3:5" ht="15">
      <c r="C1960" s="453"/>
      <c r="D1960" s="453"/>
      <c r="E1960" s="453"/>
    </row>
    <row r="1961" spans="3:5" ht="15">
      <c r="C1961" s="453"/>
      <c r="D1961" s="453"/>
      <c r="E1961" s="453"/>
    </row>
    <row r="1962" spans="3:5" ht="15">
      <c r="C1962" s="453"/>
      <c r="D1962" s="453"/>
      <c r="E1962" s="453"/>
    </row>
    <row r="1963" spans="3:5" ht="15">
      <c r="C1963" s="453"/>
      <c r="D1963" s="453"/>
      <c r="E1963" s="453"/>
    </row>
    <row r="1964" spans="3:5" ht="15">
      <c r="C1964" s="453"/>
      <c r="D1964" s="453"/>
      <c r="E1964" s="453"/>
    </row>
    <row r="1965" spans="3:5" ht="15">
      <c r="C1965" s="453"/>
      <c r="D1965" s="453"/>
      <c r="E1965" s="453"/>
    </row>
    <row r="1966" spans="3:5" ht="15">
      <c r="C1966" s="453"/>
      <c r="D1966" s="453"/>
      <c r="E1966" s="453"/>
    </row>
    <row r="1967" spans="3:5" ht="15">
      <c r="C1967" s="453"/>
      <c r="D1967" s="453"/>
      <c r="E1967" s="453"/>
    </row>
    <row r="1968" spans="3:5" ht="15">
      <c r="C1968" s="453"/>
      <c r="D1968" s="453"/>
      <c r="E1968" s="453"/>
    </row>
    <row r="1969" spans="3:5" ht="15">
      <c r="C1969" s="453"/>
      <c r="D1969" s="453"/>
      <c r="E1969" s="453"/>
    </row>
    <row r="1970" spans="3:5" ht="15">
      <c r="C1970" s="453"/>
      <c r="D1970" s="453"/>
      <c r="E1970" s="453"/>
    </row>
    <row r="1971" spans="3:5" ht="15">
      <c r="C1971" s="453"/>
      <c r="D1971" s="453"/>
      <c r="E1971" s="453"/>
    </row>
    <row r="1972" spans="3:5" ht="15">
      <c r="C1972" s="453"/>
      <c r="D1972" s="453"/>
      <c r="E1972" s="453"/>
    </row>
    <row r="1973" spans="3:5" ht="15">
      <c r="C1973" s="453"/>
      <c r="D1973" s="453"/>
      <c r="E1973" s="453"/>
    </row>
    <row r="1974" spans="3:5" ht="15">
      <c r="C1974" s="453"/>
      <c r="D1974" s="453"/>
      <c r="E1974" s="453"/>
    </row>
    <row r="1975" spans="3:5" ht="15">
      <c r="C1975" s="453"/>
      <c r="D1975" s="453"/>
      <c r="E1975" s="453"/>
    </row>
    <row r="1976" spans="3:5" ht="15">
      <c r="C1976" s="453"/>
      <c r="D1976" s="453"/>
      <c r="E1976" s="453"/>
    </row>
    <row r="1977" spans="3:5" ht="15">
      <c r="C1977" s="453"/>
      <c r="D1977" s="453"/>
      <c r="E1977" s="453"/>
    </row>
    <row r="1978" spans="3:5" ht="15">
      <c r="C1978" s="453"/>
      <c r="D1978" s="453"/>
      <c r="E1978" s="453"/>
    </row>
    <row r="1979" spans="3:5" ht="15">
      <c r="C1979" s="453"/>
      <c r="D1979" s="453"/>
      <c r="E1979" s="453"/>
    </row>
    <row r="1980" spans="3:5" ht="15">
      <c r="C1980" s="453"/>
      <c r="D1980" s="453"/>
      <c r="E1980" s="453"/>
    </row>
    <row r="1981" spans="3:5" ht="15">
      <c r="C1981" s="453"/>
      <c r="D1981" s="453"/>
      <c r="E1981" s="453"/>
    </row>
    <row r="1982" spans="3:5" ht="15">
      <c r="C1982" s="453"/>
      <c r="D1982" s="453"/>
      <c r="E1982" s="453"/>
    </row>
    <row r="1983" spans="3:5" ht="15">
      <c r="C1983" s="453"/>
      <c r="D1983" s="453"/>
      <c r="E1983" s="453"/>
    </row>
    <row r="1984" spans="3:5" ht="15">
      <c r="C1984" s="453"/>
      <c r="D1984" s="453"/>
      <c r="E1984" s="453"/>
    </row>
    <row r="1985" spans="3:5" ht="15">
      <c r="C1985" s="453"/>
      <c r="D1985" s="453"/>
      <c r="E1985" s="453"/>
    </row>
    <row r="1986" spans="3:5" ht="15">
      <c r="C1986" s="453"/>
      <c r="D1986" s="453"/>
      <c r="E1986" s="453"/>
    </row>
    <row r="1987" spans="3:5" ht="15">
      <c r="C1987" s="453"/>
      <c r="D1987" s="453"/>
      <c r="E1987" s="453"/>
    </row>
    <row r="1988" spans="3:5" ht="15">
      <c r="C1988" s="453"/>
      <c r="D1988" s="453"/>
      <c r="E1988" s="453"/>
    </row>
    <row r="1989" spans="3:5" ht="15">
      <c r="C1989" s="453"/>
      <c r="D1989" s="453"/>
      <c r="E1989" s="453"/>
    </row>
    <row r="1990" spans="3:5" ht="15">
      <c r="C1990" s="453"/>
      <c r="D1990" s="453"/>
      <c r="E1990" s="453"/>
    </row>
    <row r="1991" spans="3:5" ht="15">
      <c r="C1991" s="453"/>
      <c r="D1991" s="453"/>
      <c r="E1991" s="453"/>
    </row>
    <row r="1992" spans="3:5" ht="15">
      <c r="C1992" s="453"/>
      <c r="D1992" s="453"/>
      <c r="E1992" s="453"/>
    </row>
    <row r="1993" spans="3:5" ht="15">
      <c r="C1993" s="453"/>
      <c r="D1993" s="453"/>
      <c r="E1993" s="453"/>
    </row>
    <row r="1994" spans="3:5" ht="15">
      <c r="C1994" s="453"/>
      <c r="D1994" s="453"/>
      <c r="E1994" s="453"/>
    </row>
    <row r="1995" spans="3:5" ht="15">
      <c r="C1995" s="453"/>
      <c r="D1995" s="453"/>
      <c r="E1995" s="453"/>
    </row>
    <row r="1996" spans="3:5" ht="15">
      <c r="C1996" s="453"/>
      <c r="D1996" s="453"/>
      <c r="E1996" s="453"/>
    </row>
    <row r="1997" spans="3:5" ht="15">
      <c r="C1997" s="453"/>
      <c r="D1997" s="453"/>
      <c r="E1997" s="453"/>
    </row>
    <row r="1998" spans="3:5" ht="15">
      <c r="C1998" s="453"/>
      <c r="D1998" s="453"/>
      <c r="E1998" s="453"/>
    </row>
    <row r="1999" spans="3:5" ht="15">
      <c r="C1999" s="453"/>
      <c r="D1999" s="453"/>
      <c r="E1999" s="453"/>
    </row>
    <row r="2000" spans="3:5" ht="15">
      <c r="C2000" s="453"/>
      <c r="D2000" s="453"/>
      <c r="E2000" s="453"/>
    </row>
    <row r="2001" spans="3:5" ht="15">
      <c r="C2001" s="453"/>
      <c r="D2001" s="453"/>
      <c r="E2001" s="453"/>
    </row>
    <row r="2002" spans="3:5" ht="15">
      <c r="C2002" s="453"/>
      <c r="D2002" s="453"/>
      <c r="E2002" s="453"/>
    </row>
    <row r="2003" spans="3:5" ht="15">
      <c r="C2003" s="453"/>
      <c r="D2003" s="453"/>
      <c r="E2003" s="453"/>
    </row>
    <row r="2004" spans="3:5" ht="15">
      <c r="C2004" s="453"/>
      <c r="D2004" s="453"/>
      <c r="E2004" s="453"/>
    </row>
    <row r="2005" spans="3:5" ht="15">
      <c r="C2005" s="453"/>
      <c r="D2005" s="453"/>
      <c r="E2005" s="453"/>
    </row>
    <row r="2006" spans="3:5" ht="15">
      <c r="C2006" s="453"/>
      <c r="D2006" s="453"/>
      <c r="E2006" s="453"/>
    </row>
    <row r="2007" spans="3:5" ht="15">
      <c r="C2007" s="453"/>
      <c r="D2007" s="453"/>
      <c r="E2007" s="453"/>
    </row>
    <row r="2008" spans="3:5" ht="15">
      <c r="C2008" s="453"/>
      <c r="D2008" s="453"/>
      <c r="E2008" s="453"/>
    </row>
    <row r="2009" spans="3:5" ht="15">
      <c r="C2009" s="453"/>
      <c r="D2009" s="453"/>
      <c r="E2009" s="453"/>
    </row>
    <row r="2010" spans="3:5" ht="15">
      <c r="C2010" s="453"/>
      <c r="D2010" s="453"/>
      <c r="E2010" s="453"/>
    </row>
    <row r="2011" spans="3:5" ht="15">
      <c r="C2011" s="453"/>
      <c r="D2011" s="453"/>
      <c r="E2011" s="453"/>
    </row>
    <row r="2012" spans="3:5" ht="15">
      <c r="C2012" s="453"/>
      <c r="D2012" s="453"/>
      <c r="E2012" s="453"/>
    </row>
    <row r="2013" spans="3:5" ht="15">
      <c r="C2013" s="453"/>
      <c r="D2013" s="453"/>
      <c r="E2013" s="453"/>
    </row>
    <row r="2014" spans="3:5" ht="15">
      <c r="C2014" s="453"/>
      <c r="D2014" s="453"/>
      <c r="E2014" s="453"/>
    </row>
    <row r="2015" spans="3:5" ht="15">
      <c r="C2015" s="453"/>
      <c r="D2015" s="453"/>
      <c r="E2015" s="453"/>
    </row>
    <row r="2016" spans="3:5" ht="15">
      <c r="C2016" s="453"/>
      <c r="D2016" s="453"/>
      <c r="E2016" s="453"/>
    </row>
    <row r="2017" spans="3:5" ht="15">
      <c r="C2017" s="453"/>
      <c r="D2017" s="453"/>
      <c r="E2017" s="453"/>
    </row>
    <row r="2018" spans="3:5" ht="15">
      <c r="C2018" s="453"/>
      <c r="D2018" s="453"/>
      <c r="E2018" s="453"/>
    </row>
    <row r="2019" spans="3:5" ht="15">
      <c r="C2019" s="453"/>
      <c r="D2019" s="453"/>
      <c r="E2019" s="453"/>
    </row>
    <row r="2020" spans="3:5" ht="15">
      <c r="C2020" s="453"/>
      <c r="D2020" s="453"/>
      <c r="E2020" s="453"/>
    </row>
    <row r="2021" spans="3:5" ht="15">
      <c r="C2021" s="453"/>
      <c r="D2021" s="453"/>
      <c r="E2021" s="453"/>
    </row>
    <row r="2022" spans="3:5" ht="15">
      <c r="C2022" s="453"/>
      <c r="D2022" s="453"/>
      <c r="E2022" s="453"/>
    </row>
    <row r="2023" spans="3:5" ht="15">
      <c r="C2023" s="453"/>
      <c r="D2023" s="453"/>
      <c r="E2023" s="453"/>
    </row>
    <row r="2024" spans="3:5" ht="15">
      <c r="C2024" s="453"/>
      <c r="D2024" s="453"/>
      <c r="E2024" s="453"/>
    </row>
    <row r="2025" spans="3:5" ht="15">
      <c r="C2025" s="453"/>
      <c r="D2025" s="453"/>
      <c r="E2025" s="453"/>
    </row>
    <row r="2026" spans="3:5" ht="15">
      <c r="C2026" s="453"/>
      <c r="D2026" s="453"/>
      <c r="E2026" s="453"/>
    </row>
    <row r="2027" spans="3:5" ht="15">
      <c r="C2027" s="453"/>
      <c r="D2027" s="453"/>
      <c r="E2027" s="453"/>
    </row>
    <row r="2028" spans="3:5" ht="15">
      <c r="C2028" s="453"/>
      <c r="D2028" s="453"/>
      <c r="E2028" s="453"/>
    </row>
    <row r="2029" spans="3:5" ht="15">
      <c r="C2029" s="453"/>
      <c r="D2029" s="453"/>
      <c r="E2029" s="453"/>
    </row>
    <row r="2030" spans="3:5" ht="15">
      <c r="C2030" s="453"/>
      <c r="D2030" s="453"/>
      <c r="E2030" s="453"/>
    </row>
    <row r="2031" spans="3:5" ht="15">
      <c r="C2031" s="453"/>
      <c r="D2031" s="453"/>
      <c r="E2031" s="453"/>
    </row>
    <row r="2032" spans="3:5" ht="15">
      <c r="C2032" s="453"/>
      <c r="D2032" s="453"/>
      <c r="E2032" s="453"/>
    </row>
    <row r="2033" spans="3:5" ht="15">
      <c r="C2033" s="453"/>
      <c r="D2033" s="453"/>
      <c r="E2033" s="453"/>
    </row>
    <row r="2034" spans="3:5" ht="15">
      <c r="C2034" s="453"/>
      <c r="D2034" s="453"/>
      <c r="E2034" s="453"/>
    </row>
    <row r="2035" spans="3:5" ht="15">
      <c r="C2035" s="453"/>
      <c r="D2035" s="453"/>
      <c r="E2035" s="453"/>
    </row>
    <row r="2036" spans="3:5" ht="15">
      <c r="C2036" s="453"/>
      <c r="D2036" s="453"/>
      <c r="E2036" s="453"/>
    </row>
    <row r="2037" spans="3:5" ht="15">
      <c r="C2037" s="453"/>
      <c r="D2037" s="453"/>
      <c r="E2037" s="453"/>
    </row>
    <row r="2038" spans="3:5" ht="15">
      <c r="C2038" s="453"/>
      <c r="D2038" s="453"/>
      <c r="E2038" s="453"/>
    </row>
    <row r="2039" spans="3:5" ht="15">
      <c r="C2039" s="453"/>
      <c r="D2039" s="453"/>
      <c r="E2039" s="453"/>
    </row>
    <row r="2040" spans="3:5" ht="15">
      <c r="C2040" s="453"/>
      <c r="D2040" s="453"/>
      <c r="E2040" s="453"/>
    </row>
    <row r="2041" spans="3:5" ht="15">
      <c r="C2041" s="453"/>
      <c r="D2041" s="453"/>
      <c r="E2041" s="453"/>
    </row>
    <row r="2042" spans="3:5" ht="15">
      <c r="C2042" s="453"/>
      <c r="D2042" s="453"/>
      <c r="E2042" s="453"/>
    </row>
    <row r="2043" spans="3:5" ht="15">
      <c r="C2043" s="453"/>
      <c r="D2043" s="453"/>
      <c r="E2043" s="453"/>
    </row>
    <row r="2044" spans="3:5" ht="15">
      <c r="C2044" s="453"/>
      <c r="D2044" s="453"/>
      <c r="E2044" s="453"/>
    </row>
    <row r="2045" spans="3:5" ht="15">
      <c r="C2045" s="453"/>
      <c r="D2045" s="453"/>
      <c r="E2045" s="453"/>
    </row>
    <row r="2046" spans="3:5" ht="15">
      <c r="C2046" s="453"/>
      <c r="D2046" s="453"/>
      <c r="E2046" s="453"/>
    </row>
    <row r="2047" spans="3:5" ht="15">
      <c r="C2047" s="453"/>
      <c r="D2047" s="453"/>
      <c r="E2047" s="453"/>
    </row>
    <row r="2048" spans="3:5" ht="15">
      <c r="C2048" s="453"/>
      <c r="D2048" s="453"/>
      <c r="E2048" s="453"/>
    </row>
    <row r="2049" spans="3:5" ht="15">
      <c r="C2049" s="453"/>
      <c r="D2049" s="453"/>
      <c r="E2049" s="453"/>
    </row>
    <row r="2050" spans="3:5" ht="15">
      <c r="C2050" s="453"/>
      <c r="D2050" s="453"/>
      <c r="E2050" s="453"/>
    </row>
    <row r="2051" spans="3:5" ht="15">
      <c r="C2051" s="453"/>
      <c r="D2051" s="453"/>
      <c r="E2051" s="453"/>
    </row>
    <row r="2052" spans="3:5" ht="15">
      <c r="C2052" s="453"/>
      <c r="D2052" s="453"/>
      <c r="E2052" s="453"/>
    </row>
    <row r="2053" spans="3:5" ht="15">
      <c r="C2053" s="453"/>
      <c r="D2053" s="453"/>
      <c r="E2053" s="453"/>
    </row>
    <row r="2054" spans="3:5" ht="15">
      <c r="C2054" s="453"/>
      <c r="D2054" s="453"/>
      <c r="E2054" s="453"/>
    </row>
    <row r="2055" spans="3:5" ht="15">
      <c r="C2055" s="453"/>
      <c r="D2055" s="453"/>
      <c r="E2055" s="453"/>
    </row>
    <row r="2056" spans="3:5" ht="15">
      <c r="C2056" s="453"/>
      <c r="D2056" s="453"/>
      <c r="E2056" s="453"/>
    </row>
    <row r="2057" spans="3:5" ht="15">
      <c r="C2057" s="453"/>
      <c r="D2057" s="453"/>
      <c r="E2057" s="453"/>
    </row>
    <row r="2058" spans="3:5" ht="15">
      <c r="C2058" s="453"/>
      <c r="D2058" s="453"/>
      <c r="E2058" s="453"/>
    </row>
    <row r="2059" spans="3:5" ht="15">
      <c r="C2059" s="453"/>
      <c r="D2059" s="453"/>
      <c r="E2059" s="453"/>
    </row>
    <row r="2060" spans="3:5" ht="15">
      <c r="C2060" s="453"/>
      <c r="D2060" s="453"/>
      <c r="E2060" s="453"/>
    </row>
    <row r="2061" spans="3:5" ht="15">
      <c r="C2061" s="453"/>
      <c r="D2061" s="453"/>
      <c r="E2061" s="453"/>
    </row>
    <row r="2062" spans="3:5" ht="15">
      <c r="C2062" s="453"/>
      <c r="D2062" s="453"/>
      <c r="E2062" s="453"/>
    </row>
    <row r="2063" spans="3:5" ht="15">
      <c r="C2063" s="453"/>
      <c r="D2063" s="453"/>
      <c r="E2063" s="453"/>
    </row>
    <row r="2064" spans="3:5" ht="15">
      <c r="C2064" s="453"/>
      <c r="D2064" s="453"/>
      <c r="E2064" s="453"/>
    </row>
    <row r="2065" spans="3:5" ht="15">
      <c r="C2065" s="453"/>
      <c r="D2065" s="453"/>
      <c r="E2065" s="453"/>
    </row>
    <row r="2066" spans="3:5" ht="15">
      <c r="C2066" s="453"/>
      <c r="D2066" s="453"/>
      <c r="E2066" s="453"/>
    </row>
    <row r="2067" spans="3:5" ht="15">
      <c r="C2067" s="453"/>
      <c r="D2067" s="453"/>
      <c r="E2067" s="453"/>
    </row>
    <row r="2068" spans="3:5" ht="15">
      <c r="C2068" s="453"/>
      <c r="D2068" s="453"/>
      <c r="E2068" s="453"/>
    </row>
    <row r="2069" spans="3:5" ht="15">
      <c r="C2069" s="453"/>
      <c r="D2069" s="453"/>
      <c r="E2069" s="453"/>
    </row>
    <row r="2070" spans="3:5" ht="15">
      <c r="C2070" s="453"/>
      <c r="D2070" s="453"/>
      <c r="E2070" s="453"/>
    </row>
    <row r="2071" spans="3:5" ht="15">
      <c r="C2071" s="453"/>
      <c r="D2071" s="453"/>
      <c r="E2071" s="453"/>
    </row>
    <row r="2072" spans="3:5" ht="15">
      <c r="C2072" s="453"/>
      <c r="D2072" s="453"/>
      <c r="E2072" s="453"/>
    </row>
    <row r="2073" spans="3:5" ht="15">
      <c r="C2073" s="453"/>
      <c r="D2073" s="453"/>
      <c r="E2073" s="453"/>
    </row>
    <row r="2074" spans="3:5" ht="15">
      <c r="C2074" s="453"/>
      <c r="D2074" s="453"/>
      <c r="E2074" s="453"/>
    </row>
    <row r="2075" spans="3:5" ht="15">
      <c r="C2075" s="453"/>
      <c r="D2075" s="453"/>
      <c r="E2075" s="453"/>
    </row>
    <row r="2076" spans="3:5" ht="15">
      <c r="C2076" s="453"/>
      <c r="D2076" s="453"/>
      <c r="E2076" s="453"/>
    </row>
    <row r="2077" spans="3:5" ht="15">
      <c r="C2077" s="453"/>
      <c r="D2077" s="453"/>
      <c r="E2077" s="453"/>
    </row>
    <row r="2078" spans="3:5" ht="15">
      <c r="C2078" s="453"/>
      <c r="D2078" s="453"/>
      <c r="E2078" s="453"/>
    </row>
    <row r="2079" spans="3:5" ht="15">
      <c r="C2079" s="453"/>
      <c r="D2079" s="453"/>
      <c r="E2079" s="453"/>
    </row>
    <row r="2080" spans="3:5" ht="15">
      <c r="C2080" s="453"/>
      <c r="D2080" s="453"/>
      <c r="E2080" s="453"/>
    </row>
    <row r="2081" spans="3:5" ht="15">
      <c r="C2081" s="453"/>
      <c r="D2081" s="453"/>
      <c r="E2081" s="453"/>
    </row>
    <row r="2082" spans="3:5" ht="15">
      <c r="C2082" s="453"/>
      <c r="D2082" s="453"/>
      <c r="E2082" s="453"/>
    </row>
    <row r="2083" spans="3:5" ht="15">
      <c r="C2083" s="453"/>
      <c r="D2083" s="453"/>
      <c r="E2083" s="453"/>
    </row>
    <row r="2084" spans="3:5" ht="15">
      <c r="C2084" s="453"/>
      <c r="D2084" s="453"/>
      <c r="E2084" s="453"/>
    </row>
    <row r="2085" spans="3:5" ht="15">
      <c r="C2085" s="453"/>
      <c r="D2085" s="453"/>
      <c r="E2085" s="453"/>
    </row>
    <row r="2086" spans="3:5" ht="15">
      <c r="C2086" s="453"/>
      <c r="D2086" s="453"/>
      <c r="E2086" s="453"/>
    </row>
    <row r="2087" spans="3:5" ht="15">
      <c r="C2087" s="453"/>
      <c r="D2087" s="453"/>
      <c r="E2087" s="453"/>
    </row>
    <row r="2088" spans="3:5" ht="15">
      <c r="C2088" s="453"/>
      <c r="D2088" s="453"/>
      <c r="E2088" s="453"/>
    </row>
    <row r="2089" spans="3:5" ht="15">
      <c r="C2089" s="453"/>
      <c r="D2089" s="453"/>
      <c r="E2089" s="453"/>
    </row>
    <row r="2090" spans="3:5" ht="15">
      <c r="C2090" s="453"/>
      <c r="D2090" s="453"/>
      <c r="E2090" s="453"/>
    </row>
    <row r="2091" spans="3:5" ht="15">
      <c r="C2091" s="453"/>
      <c r="D2091" s="453"/>
      <c r="E2091" s="453"/>
    </row>
    <row r="2092" spans="3:5" ht="15">
      <c r="C2092" s="453"/>
      <c r="D2092" s="453"/>
      <c r="E2092" s="453"/>
    </row>
    <row r="2093" spans="3:5" ht="15">
      <c r="C2093" s="453"/>
      <c r="D2093" s="453"/>
      <c r="E2093" s="453"/>
    </row>
    <row r="2094" spans="3:5" ht="15">
      <c r="C2094" s="453"/>
      <c r="D2094" s="453"/>
      <c r="E2094" s="453"/>
    </row>
    <row r="2095" spans="3:5" ht="15">
      <c r="C2095" s="453"/>
      <c r="D2095" s="453"/>
      <c r="E2095" s="453"/>
    </row>
    <row r="2096" spans="3:5" ht="15">
      <c r="C2096" s="453"/>
      <c r="D2096" s="453"/>
      <c r="E2096" s="453"/>
    </row>
    <row r="2097" spans="3:5" ht="15">
      <c r="C2097" s="453"/>
      <c r="D2097" s="453"/>
      <c r="E2097" s="453"/>
    </row>
    <row r="2098" spans="3:5" ht="15">
      <c r="C2098" s="453"/>
      <c r="D2098" s="453"/>
      <c r="E2098" s="453"/>
    </row>
    <row r="2099" spans="3:5" ht="15">
      <c r="C2099" s="453"/>
      <c r="D2099" s="453"/>
      <c r="E2099" s="453"/>
    </row>
    <row r="2100" spans="3:5" ht="15">
      <c r="C2100" s="453"/>
      <c r="D2100" s="453"/>
      <c r="E2100" s="453"/>
    </row>
    <row r="2101" spans="3:5" ht="15">
      <c r="C2101" s="453"/>
      <c r="D2101" s="453"/>
      <c r="E2101" s="453"/>
    </row>
    <row r="2102" spans="3:5" ht="15">
      <c r="C2102" s="453"/>
      <c r="D2102" s="453"/>
      <c r="E2102" s="453"/>
    </row>
    <row r="2103" spans="3:5" ht="15">
      <c r="C2103" s="453"/>
      <c r="D2103" s="453"/>
      <c r="E2103" s="453"/>
    </row>
    <row r="2104" spans="3:5" ht="15">
      <c r="C2104" s="453"/>
      <c r="D2104" s="453"/>
      <c r="E2104" s="453"/>
    </row>
    <row r="2105" spans="3:5" ht="15">
      <c r="C2105" s="453"/>
      <c r="D2105" s="453"/>
      <c r="E2105" s="453"/>
    </row>
    <row r="2106" spans="3:5" ht="15">
      <c r="C2106" s="453"/>
      <c r="D2106" s="453"/>
      <c r="E2106" s="453"/>
    </row>
    <row r="2107" spans="3:5" ht="15">
      <c r="C2107" s="453"/>
      <c r="D2107" s="453"/>
      <c r="E2107" s="453"/>
    </row>
    <row r="2108" spans="3:5" ht="15">
      <c r="C2108" s="453"/>
      <c r="D2108" s="453"/>
      <c r="E2108" s="453"/>
    </row>
    <row r="2109" spans="3:5" ht="15">
      <c r="C2109" s="453"/>
      <c r="D2109" s="453"/>
      <c r="E2109" s="453"/>
    </row>
    <row r="2110" spans="3:5" ht="15">
      <c r="C2110" s="453"/>
      <c r="D2110" s="453"/>
      <c r="E2110" s="453"/>
    </row>
    <row r="2111" spans="3:5" ht="15">
      <c r="C2111" s="453"/>
      <c r="D2111" s="453"/>
      <c r="E2111" s="453"/>
    </row>
    <row r="2112" spans="3:5" ht="15">
      <c r="C2112" s="453"/>
      <c r="D2112" s="453"/>
      <c r="E2112" s="453"/>
    </row>
    <row r="2113" spans="3:5" ht="15">
      <c r="C2113" s="453"/>
      <c r="D2113" s="453"/>
      <c r="E2113" s="453"/>
    </row>
    <row r="2114" spans="3:5" ht="15">
      <c r="C2114" s="453"/>
      <c r="D2114" s="453"/>
      <c r="E2114" s="453"/>
    </row>
    <row r="2115" spans="3:5" ht="15">
      <c r="C2115" s="453"/>
      <c r="D2115" s="453"/>
      <c r="E2115" s="453"/>
    </row>
    <row r="2116" spans="3:5" ht="15">
      <c r="C2116" s="453"/>
      <c r="D2116" s="453"/>
      <c r="E2116" s="453"/>
    </row>
    <row r="2117" spans="3:5" ht="15">
      <c r="C2117" s="453"/>
      <c r="D2117" s="453"/>
      <c r="E2117" s="453"/>
    </row>
    <row r="2118" spans="3:5" ht="15">
      <c r="C2118" s="453"/>
      <c r="D2118" s="453"/>
      <c r="E2118" s="453"/>
    </row>
    <row r="2119" spans="3:5" ht="15">
      <c r="C2119" s="453"/>
      <c r="D2119" s="453"/>
      <c r="E2119" s="453"/>
    </row>
    <row r="2120" spans="3:5" ht="15">
      <c r="C2120" s="453"/>
      <c r="D2120" s="453"/>
      <c r="E2120" s="453"/>
    </row>
    <row r="2121" spans="3:5" ht="15">
      <c r="C2121" s="453"/>
      <c r="D2121" s="453"/>
      <c r="E2121" s="453"/>
    </row>
    <row r="2122" spans="3:5" ht="15">
      <c r="C2122" s="453"/>
      <c r="D2122" s="453"/>
      <c r="E2122" s="453"/>
    </row>
    <row r="2123" spans="3:5" ht="15">
      <c r="C2123" s="453"/>
      <c r="D2123" s="453"/>
      <c r="E2123" s="453"/>
    </row>
    <row r="2124" spans="3:5" ht="15">
      <c r="C2124" s="453"/>
      <c r="D2124" s="453"/>
      <c r="E2124" s="453"/>
    </row>
    <row r="2125" spans="3:5" ht="15">
      <c r="C2125" s="453"/>
      <c r="D2125" s="453"/>
      <c r="E2125" s="453"/>
    </row>
    <row r="2126" spans="3:5" ht="15">
      <c r="C2126" s="453"/>
      <c r="D2126" s="453"/>
      <c r="E2126" s="453"/>
    </row>
    <row r="2127" spans="3:5" ht="15">
      <c r="C2127" s="453"/>
      <c r="D2127" s="453"/>
      <c r="E2127" s="453"/>
    </row>
    <row r="2128" spans="3:5" ht="15">
      <c r="C2128" s="453"/>
      <c r="D2128" s="453"/>
      <c r="E2128" s="453"/>
    </row>
    <row r="2129" spans="3:5" ht="15">
      <c r="C2129" s="453"/>
      <c r="D2129" s="453"/>
      <c r="E2129" s="453"/>
    </row>
    <row r="2130" spans="3:5" ht="15">
      <c r="C2130" s="453"/>
      <c r="D2130" s="453"/>
      <c r="E2130" s="453"/>
    </row>
    <row r="2131" spans="3:5" ht="15">
      <c r="C2131" s="453"/>
      <c r="D2131" s="453"/>
      <c r="E2131" s="453"/>
    </row>
    <row r="2132" spans="3:5" ht="15">
      <c r="C2132" s="453"/>
      <c r="D2132" s="453"/>
      <c r="E2132" s="453"/>
    </row>
    <row r="2133" spans="3:5" ht="15">
      <c r="C2133" s="453"/>
      <c r="D2133" s="453"/>
      <c r="E2133" s="453"/>
    </row>
    <row r="2134" spans="3:5" ht="15">
      <c r="C2134" s="453"/>
      <c r="D2134" s="453"/>
      <c r="E2134" s="453"/>
    </row>
    <row r="2135" spans="3:5" ht="15">
      <c r="C2135" s="453"/>
      <c r="D2135" s="453"/>
      <c r="E2135" s="453"/>
    </row>
    <row r="2136" spans="3:5" ht="15">
      <c r="C2136" s="453"/>
      <c r="D2136" s="453"/>
      <c r="E2136" s="453"/>
    </row>
    <row r="2137" spans="3:5" ht="15">
      <c r="C2137" s="453"/>
      <c r="D2137" s="453"/>
      <c r="E2137" s="453"/>
    </row>
    <row r="2138" spans="3:5" ht="15">
      <c r="C2138" s="453"/>
      <c r="D2138" s="453"/>
      <c r="E2138" s="453"/>
    </row>
    <row r="2139" spans="3:5" ht="15">
      <c r="C2139" s="453"/>
      <c r="D2139" s="453"/>
      <c r="E2139" s="453"/>
    </row>
    <row r="2140" spans="3:5" ht="15">
      <c r="C2140" s="453"/>
      <c r="D2140" s="453"/>
      <c r="E2140" s="453"/>
    </row>
    <row r="2141" spans="3:5" ht="15">
      <c r="C2141" s="453"/>
      <c r="D2141" s="453"/>
      <c r="E2141" s="453"/>
    </row>
    <row r="2142" spans="3:5" ht="15">
      <c r="C2142" s="453"/>
      <c r="D2142" s="453"/>
      <c r="E2142" s="453"/>
    </row>
    <row r="2143" spans="3:5" ht="15">
      <c r="C2143" s="453"/>
      <c r="D2143" s="453"/>
      <c r="E2143" s="453"/>
    </row>
    <row r="2144" spans="3:5" ht="15">
      <c r="C2144" s="453"/>
      <c r="D2144" s="453"/>
      <c r="E2144" s="453"/>
    </row>
    <row r="2145" spans="3:5" ht="15">
      <c r="C2145" s="453"/>
      <c r="D2145" s="453"/>
      <c r="E2145" s="453"/>
    </row>
    <row r="2146" spans="3:5" ht="15">
      <c r="C2146" s="453"/>
      <c r="D2146" s="453"/>
      <c r="E2146" s="453"/>
    </row>
    <row r="2147" spans="3:5" ht="15">
      <c r="C2147" s="453"/>
      <c r="D2147" s="453"/>
      <c r="E2147" s="453"/>
    </row>
    <row r="2148" spans="3:5" ht="15">
      <c r="C2148" s="453"/>
      <c r="D2148" s="453"/>
      <c r="E2148" s="453"/>
    </row>
    <row r="2149" spans="3:5" ht="15">
      <c r="C2149" s="453"/>
      <c r="D2149" s="453"/>
      <c r="E2149" s="453"/>
    </row>
    <row r="2150" spans="3:5" ht="15">
      <c r="C2150" s="453"/>
      <c r="D2150" s="453"/>
      <c r="E2150" s="453"/>
    </row>
    <row r="2151" spans="3:5" ht="15">
      <c r="C2151" s="453"/>
      <c r="D2151" s="453"/>
      <c r="E2151" s="453"/>
    </row>
    <row r="2152" spans="3:5" ht="15">
      <c r="C2152" s="453"/>
      <c r="D2152" s="453"/>
      <c r="E2152" s="453"/>
    </row>
    <row r="2153" spans="3:5" ht="15">
      <c r="C2153" s="453"/>
      <c r="D2153" s="453"/>
      <c r="E2153" s="453"/>
    </row>
    <row r="2154" spans="3:5" ht="15">
      <c r="C2154" s="453"/>
      <c r="D2154" s="453"/>
      <c r="E2154" s="453"/>
    </row>
    <row r="2155" spans="3:5" ht="15">
      <c r="C2155" s="453"/>
      <c r="D2155" s="453"/>
      <c r="E2155" s="453"/>
    </row>
    <row r="2156" spans="3:5" ht="15">
      <c r="C2156" s="453"/>
      <c r="D2156" s="453"/>
      <c r="E2156" s="453"/>
    </row>
    <row r="2157" spans="3:5" ht="15">
      <c r="C2157" s="453"/>
      <c r="D2157" s="453"/>
      <c r="E2157" s="453"/>
    </row>
    <row r="2158" spans="3:5" ht="15">
      <c r="C2158" s="453"/>
      <c r="D2158" s="453"/>
      <c r="E2158" s="453"/>
    </row>
    <row r="2159" spans="3:5" ht="15">
      <c r="C2159" s="453"/>
      <c r="D2159" s="453"/>
      <c r="E2159" s="453"/>
    </row>
    <row r="2160" spans="3:5" ht="15">
      <c r="C2160" s="453"/>
      <c r="D2160" s="453"/>
      <c r="E2160" s="453"/>
    </row>
    <row r="2161" spans="3:5" ht="15">
      <c r="C2161" s="453"/>
      <c r="D2161" s="453"/>
      <c r="E2161" s="453"/>
    </row>
    <row r="2162" spans="3:5" ht="15">
      <c r="C2162" s="453"/>
      <c r="D2162" s="453"/>
      <c r="E2162" s="453"/>
    </row>
    <row r="2163" spans="3:5" ht="15">
      <c r="C2163" s="453"/>
      <c r="D2163" s="453"/>
      <c r="E2163" s="453"/>
    </row>
    <row r="2164" spans="3:5" ht="15">
      <c r="C2164" s="453"/>
      <c r="D2164" s="453"/>
      <c r="E2164" s="453"/>
    </row>
    <row r="2165" spans="3:5" ht="15">
      <c r="C2165" s="453"/>
      <c r="D2165" s="453"/>
      <c r="E2165" s="453"/>
    </row>
    <row r="2166" spans="3:5" ht="15">
      <c r="C2166" s="453"/>
      <c r="D2166" s="453"/>
      <c r="E2166" s="453"/>
    </row>
    <row r="2167" spans="3:5" ht="15">
      <c r="C2167" s="453"/>
      <c r="D2167" s="453"/>
      <c r="E2167" s="453"/>
    </row>
    <row r="2168" spans="3:5" ht="15">
      <c r="C2168" s="453"/>
      <c r="D2168" s="453"/>
      <c r="E2168" s="453"/>
    </row>
    <row r="2169" spans="3:5" ht="15">
      <c r="C2169" s="453"/>
      <c r="D2169" s="453"/>
      <c r="E2169" s="453"/>
    </row>
    <row r="2170" spans="3:5" ht="15">
      <c r="C2170" s="453"/>
      <c r="D2170" s="453"/>
      <c r="E2170" s="453"/>
    </row>
    <row r="2171" spans="3:5" ht="15">
      <c r="C2171" s="453"/>
      <c r="D2171" s="453"/>
      <c r="E2171" s="453"/>
    </row>
    <row r="2172" spans="3:5" ht="15">
      <c r="C2172" s="453"/>
      <c r="D2172" s="453"/>
      <c r="E2172" s="453"/>
    </row>
    <row r="2173" spans="3:5" ht="15">
      <c r="C2173" s="453"/>
      <c r="D2173" s="453"/>
      <c r="E2173" s="453"/>
    </row>
    <row r="2174" spans="3:5" ht="15">
      <c r="C2174" s="453"/>
      <c r="D2174" s="453"/>
      <c r="E2174" s="453"/>
    </row>
    <row r="2175" spans="3:5" ht="15">
      <c r="C2175" s="453"/>
      <c r="D2175" s="453"/>
      <c r="E2175" s="453"/>
    </row>
    <row r="2176" spans="3:5" ht="15">
      <c r="C2176" s="453"/>
      <c r="D2176" s="453"/>
      <c r="E2176" s="453"/>
    </row>
    <row r="2177" spans="3:5" ht="15">
      <c r="C2177" s="453"/>
      <c r="D2177" s="453"/>
      <c r="E2177" s="453"/>
    </row>
    <row r="2178" spans="3:5" ht="15">
      <c r="C2178" s="453"/>
      <c r="D2178" s="453"/>
      <c r="E2178" s="453"/>
    </row>
    <row r="2179" spans="3:5" ht="15">
      <c r="C2179" s="453"/>
      <c r="D2179" s="453"/>
      <c r="E2179" s="453"/>
    </row>
    <row r="2180" spans="3:5" ht="15">
      <c r="C2180" s="453"/>
      <c r="D2180" s="453"/>
      <c r="E2180" s="453"/>
    </row>
    <row r="2181" spans="3:5" ht="15">
      <c r="C2181" s="453"/>
      <c r="D2181" s="453"/>
      <c r="E2181" s="453"/>
    </row>
    <row r="2182" spans="3:5" ht="15">
      <c r="C2182" s="453"/>
      <c r="D2182" s="453"/>
      <c r="E2182" s="453"/>
    </row>
    <row r="2183" spans="3:5" ht="15">
      <c r="C2183" s="453"/>
      <c r="D2183" s="453"/>
      <c r="E2183" s="453"/>
    </row>
    <row r="2184" spans="3:5" ht="15">
      <c r="C2184" s="453"/>
      <c r="D2184" s="453"/>
      <c r="E2184" s="453"/>
    </row>
    <row r="2185" spans="3:5" ht="15">
      <c r="C2185" s="453"/>
      <c r="D2185" s="453"/>
      <c r="E2185" s="453"/>
    </row>
    <row r="2186" spans="3:5" ht="15">
      <c r="C2186" s="453"/>
      <c r="D2186" s="453"/>
      <c r="E2186" s="453"/>
    </row>
    <row r="2187" spans="3:5" ht="15">
      <c r="C2187" s="453"/>
      <c r="D2187" s="453"/>
      <c r="E2187" s="453"/>
    </row>
    <row r="2188" spans="3:5" ht="15">
      <c r="C2188" s="453"/>
      <c r="D2188" s="453"/>
      <c r="E2188" s="453"/>
    </row>
    <row r="2189" spans="3:5" ht="15">
      <c r="C2189" s="453"/>
      <c r="D2189" s="453"/>
      <c r="E2189" s="453"/>
    </row>
    <row r="2190" spans="3:5" ht="15">
      <c r="C2190" s="453"/>
      <c r="D2190" s="453"/>
      <c r="E2190" s="453"/>
    </row>
    <row r="2191" spans="3:5" ht="15">
      <c r="C2191" s="453"/>
      <c r="D2191" s="453"/>
      <c r="E2191" s="453"/>
    </row>
    <row r="2192" spans="3:5" ht="15">
      <c r="C2192" s="453"/>
      <c r="D2192" s="453"/>
      <c r="E2192" s="453"/>
    </row>
    <row r="2193" spans="3:5" ht="15">
      <c r="C2193" s="453"/>
      <c r="D2193" s="453"/>
      <c r="E2193" s="453"/>
    </row>
    <row r="2194" spans="3:5" ht="15">
      <c r="C2194" s="453"/>
      <c r="D2194" s="453"/>
      <c r="E2194" s="453"/>
    </row>
    <row r="2195" spans="3:5" ht="15">
      <c r="C2195" s="453"/>
      <c r="D2195" s="453"/>
      <c r="E2195" s="453"/>
    </row>
    <row r="2196" spans="3:5" ht="15">
      <c r="C2196" s="453"/>
      <c r="D2196" s="453"/>
      <c r="E2196" s="453"/>
    </row>
    <row r="2197" spans="3:5" ht="15">
      <c r="C2197" s="453"/>
      <c r="D2197" s="453"/>
      <c r="E2197" s="453"/>
    </row>
    <row r="2198" spans="3:5" ht="15">
      <c r="C2198" s="453"/>
      <c r="D2198" s="453"/>
      <c r="E2198" s="453"/>
    </row>
    <row r="2199" spans="3:5" ht="15">
      <c r="C2199" s="453"/>
      <c r="D2199" s="453"/>
      <c r="E2199" s="453"/>
    </row>
    <row r="2200" spans="3:5" ht="15">
      <c r="C2200" s="453"/>
      <c r="D2200" s="453"/>
      <c r="E2200" s="453"/>
    </row>
    <row r="2201" spans="3:5" ht="15">
      <c r="C2201" s="453"/>
      <c r="D2201" s="453"/>
      <c r="E2201" s="453"/>
    </row>
    <row r="2202" spans="3:5" ht="15">
      <c r="C2202" s="453"/>
      <c r="D2202" s="453"/>
      <c r="E2202" s="453"/>
    </row>
    <row r="2203" spans="3:5" ht="15">
      <c r="C2203" s="453"/>
      <c r="D2203" s="453"/>
      <c r="E2203" s="453"/>
    </row>
    <row r="2204" spans="3:5" ht="15">
      <c r="C2204" s="453"/>
      <c r="D2204" s="453"/>
      <c r="E2204" s="453"/>
    </row>
    <row r="2205" spans="3:5" ht="15">
      <c r="C2205" s="453"/>
      <c r="D2205" s="453"/>
      <c r="E2205" s="453"/>
    </row>
    <row r="2206" spans="3:5" ht="15">
      <c r="C2206" s="453"/>
      <c r="D2206" s="453"/>
      <c r="E2206" s="453"/>
    </row>
    <row r="2207" spans="3:5" ht="15">
      <c r="C2207" s="453"/>
      <c r="D2207" s="453"/>
      <c r="E2207" s="453"/>
    </row>
    <row r="2208" spans="3:5" ht="15">
      <c r="C2208" s="453"/>
      <c r="D2208" s="453"/>
      <c r="E2208" s="453"/>
    </row>
    <row r="2209" spans="3:5" ht="15">
      <c r="C2209" s="453"/>
      <c r="D2209" s="453"/>
      <c r="E2209" s="453"/>
    </row>
    <row r="2210" spans="3:5" ht="15">
      <c r="C2210" s="453"/>
      <c r="D2210" s="453"/>
      <c r="E2210" s="453"/>
    </row>
    <row r="2211" spans="3:5" ht="15">
      <c r="C2211" s="453"/>
      <c r="D2211" s="453"/>
      <c r="E2211" s="453"/>
    </row>
    <row r="2212" spans="3:5" ht="15">
      <c r="C2212" s="453"/>
      <c r="D2212" s="453"/>
      <c r="E2212" s="453"/>
    </row>
    <row r="2213" spans="3:5" ht="15">
      <c r="C2213" s="453"/>
      <c r="D2213" s="453"/>
      <c r="E2213" s="453"/>
    </row>
    <row r="2214" spans="3:5" ht="15">
      <c r="C2214" s="453"/>
      <c r="D2214" s="453"/>
      <c r="E2214" s="453"/>
    </row>
    <row r="2215" spans="3:5" ht="15">
      <c r="C2215" s="453"/>
      <c r="D2215" s="453"/>
      <c r="E2215" s="453"/>
    </row>
    <row r="2216" spans="3:5" ht="15">
      <c r="C2216" s="453"/>
      <c r="D2216" s="453"/>
      <c r="E2216" s="453"/>
    </row>
    <row r="2217" spans="3:5" ht="15">
      <c r="C2217" s="453"/>
      <c r="D2217" s="453"/>
      <c r="E2217" s="453"/>
    </row>
    <row r="2218" spans="3:5" ht="15">
      <c r="C2218" s="453"/>
      <c r="D2218" s="453"/>
      <c r="E2218" s="453"/>
    </row>
    <row r="2219" spans="3:5" ht="15">
      <c r="C2219" s="453"/>
      <c r="D2219" s="453"/>
      <c r="E2219" s="453"/>
    </row>
    <row r="2220" spans="3:5" ht="15">
      <c r="C2220" s="453"/>
      <c r="D2220" s="453"/>
      <c r="E2220" s="453"/>
    </row>
    <row r="2221" spans="3:5" ht="15">
      <c r="C2221" s="453"/>
      <c r="D2221" s="453"/>
      <c r="E2221" s="453"/>
    </row>
    <row r="2222" spans="3:5" ht="15">
      <c r="C2222" s="453"/>
      <c r="D2222" s="453"/>
      <c r="E2222" s="453"/>
    </row>
    <row r="2223" spans="3:5" ht="15">
      <c r="C2223" s="453"/>
      <c r="D2223" s="453"/>
      <c r="E2223" s="453"/>
    </row>
    <row r="2224" spans="3:5" ht="15">
      <c r="C2224" s="453"/>
      <c r="D2224" s="453"/>
      <c r="E2224" s="453"/>
    </row>
    <row r="2225" spans="3:5" ht="15">
      <c r="C2225" s="453"/>
      <c r="D2225" s="453"/>
      <c r="E2225" s="453"/>
    </row>
    <row r="2226" spans="3:5" ht="15">
      <c r="C2226" s="453"/>
      <c r="D2226" s="453"/>
      <c r="E2226" s="453"/>
    </row>
    <row r="2227" spans="3:5" ht="15">
      <c r="C2227" s="453"/>
      <c r="D2227" s="453"/>
      <c r="E2227" s="453"/>
    </row>
    <row r="2228" spans="3:5" ht="15">
      <c r="C2228" s="453"/>
      <c r="D2228" s="453"/>
      <c r="E2228" s="453"/>
    </row>
    <row r="2229" spans="3:5" ht="15">
      <c r="C2229" s="453"/>
      <c r="D2229" s="453"/>
      <c r="E2229" s="453"/>
    </row>
    <row r="2230" spans="3:5" ht="15">
      <c r="C2230" s="453"/>
      <c r="D2230" s="453"/>
      <c r="E2230" s="453"/>
    </row>
    <row r="2231" spans="3:5" ht="15">
      <c r="C2231" s="453"/>
      <c r="D2231" s="453"/>
      <c r="E2231" s="453"/>
    </row>
    <row r="2232" spans="3:5" ht="15">
      <c r="C2232" s="453"/>
      <c r="D2232" s="453"/>
      <c r="E2232" s="453"/>
    </row>
    <row r="2233" spans="3:5" ht="15">
      <c r="C2233" s="453"/>
      <c r="D2233" s="453"/>
      <c r="E2233" s="453"/>
    </row>
    <row r="2234" spans="3:5" ht="15">
      <c r="C2234" s="453"/>
      <c r="D2234" s="453"/>
      <c r="E2234" s="453"/>
    </row>
    <row r="2235" spans="3:5" ht="15">
      <c r="C2235" s="453"/>
      <c r="D2235" s="453"/>
      <c r="E2235" s="453"/>
    </row>
    <row r="2236" spans="3:5" ht="15">
      <c r="C2236" s="453"/>
      <c r="D2236" s="453"/>
      <c r="E2236" s="453"/>
    </row>
    <row r="2237" spans="3:5" ht="15">
      <c r="C2237" s="453"/>
      <c r="D2237" s="453"/>
      <c r="E2237" s="453"/>
    </row>
    <row r="2238" spans="3:5" ht="15">
      <c r="C2238" s="453"/>
      <c r="D2238" s="453"/>
      <c r="E2238" s="453"/>
    </row>
    <row r="2239" spans="3:5" ht="15">
      <c r="C2239" s="453"/>
      <c r="D2239" s="453"/>
      <c r="E2239" s="453"/>
    </row>
    <row r="2240" spans="3:5" ht="15">
      <c r="C2240" s="453"/>
      <c r="D2240" s="453"/>
      <c r="E2240" s="453"/>
    </row>
    <row r="2241" spans="3:5" ht="15">
      <c r="C2241" s="453"/>
      <c r="D2241" s="453"/>
      <c r="E2241" s="453"/>
    </row>
    <row r="2242" spans="3:5" ht="15">
      <c r="C2242" s="453"/>
      <c r="D2242" s="453"/>
      <c r="E2242" s="453"/>
    </row>
    <row r="2243" spans="3:5" ht="15">
      <c r="C2243" s="453"/>
      <c r="D2243" s="453"/>
      <c r="E2243" s="453"/>
    </row>
    <row r="2244" spans="3:5" ht="15">
      <c r="C2244" s="453"/>
      <c r="D2244" s="453"/>
      <c r="E2244" s="453"/>
    </row>
    <row r="2245" spans="3:5" ht="15">
      <c r="C2245" s="453"/>
      <c r="D2245" s="453"/>
      <c r="E2245" s="453"/>
    </row>
    <row r="2246" spans="3:5" ht="15">
      <c r="C2246" s="453"/>
      <c r="D2246" s="453"/>
      <c r="E2246" s="453"/>
    </row>
    <row r="2247" spans="3:5" ht="15">
      <c r="C2247" s="453"/>
      <c r="D2247" s="453"/>
      <c r="E2247" s="453"/>
    </row>
    <row r="2248" spans="3:5" ht="15">
      <c r="C2248" s="453"/>
      <c r="D2248" s="453"/>
      <c r="E2248" s="453"/>
    </row>
    <row r="2249" spans="3:5" ht="15">
      <c r="C2249" s="453"/>
      <c r="D2249" s="453"/>
      <c r="E2249" s="453"/>
    </row>
    <row r="2250" spans="3:5" ht="15">
      <c r="C2250" s="453"/>
      <c r="D2250" s="453"/>
      <c r="E2250" s="453"/>
    </row>
    <row r="2251" spans="3:5" ht="15">
      <c r="C2251" s="453"/>
      <c r="D2251" s="453"/>
      <c r="E2251" s="453"/>
    </row>
    <row r="2252" spans="3:5" ht="15">
      <c r="C2252" s="453"/>
      <c r="D2252" s="453"/>
      <c r="E2252" s="453"/>
    </row>
    <row r="2253" spans="3:5" ht="15">
      <c r="C2253" s="453"/>
      <c r="D2253" s="453"/>
      <c r="E2253" s="453"/>
    </row>
    <row r="2254" spans="3:5" ht="15">
      <c r="C2254" s="453"/>
      <c r="D2254" s="453"/>
      <c r="E2254" s="453"/>
    </row>
    <row r="2255" spans="3:5" ht="15">
      <c r="C2255" s="453"/>
      <c r="D2255" s="453"/>
      <c r="E2255" s="453"/>
    </row>
    <row r="2256" spans="3:5" ht="15">
      <c r="C2256" s="453"/>
      <c r="D2256" s="453"/>
      <c r="E2256" s="453"/>
    </row>
    <row r="2257" spans="3:5" ht="15">
      <c r="C2257" s="453"/>
      <c r="D2257" s="453"/>
      <c r="E2257" s="453"/>
    </row>
    <row r="2258" spans="3:5" ht="15">
      <c r="C2258" s="453"/>
      <c r="D2258" s="453"/>
      <c r="E2258" s="453"/>
    </row>
    <row r="2259" spans="3:5" ht="15">
      <c r="C2259" s="453"/>
      <c r="D2259" s="453"/>
      <c r="E2259" s="453"/>
    </row>
    <row r="2260" spans="3:5" ht="15">
      <c r="C2260" s="453"/>
      <c r="D2260" s="453"/>
      <c r="E2260" s="453"/>
    </row>
    <row r="2261" spans="3:5" ht="15">
      <c r="C2261" s="453"/>
      <c r="D2261" s="453"/>
      <c r="E2261" s="453"/>
    </row>
    <row r="2262" spans="3:5" ht="15">
      <c r="C2262" s="453"/>
      <c r="D2262" s="453"/>
      <c r="E2262" s="453"/>
    </row>
    <row r="2263" spans="3:5" ht="15">
      <c r="C2263" s="453"/>
      <c r="D2263" s="453"/>
      <c r="E2263" s="453"/>
    </row>
    <row r="2264" spans="3:5" ht="15">
      <c r="C2264" s="453"/>
      <c r="D2264" s="453"/>
      <c r="E2264" s="453"/>
    </row>
    <row r="2265" spans="3:5" ht="15">
      <c r="C2265" s="453"/>
      <c r="D2265" s="453"/>
      <c r="E2265" s="453"/>
    </row>
    <row r="2266" spans="3:5" ht="15">
      <c r="C2266" s="453"/>
      <c r="D2266" s="453"/>
      <c r="E2266" s="453"/>
    </row>
    <row r="2267" spans="3:5" ht="15">
      <c r="C2267" s="453"/>
      <c r="D2267" s="453"/>
      <c r="E2267" s="453"/>
    </row>
    <row r="2268" spans="3:5" ht="15">
      <c r="C2268" s="453"/>
      <c r="D2268" s="453"/>
      <c r="E2268" s="453"/>
    </row>
    <row r="2269" spans="3:5" ht="15">
      <c r="C2269" s="453"/>
      <c r="D2269" s="453"/>
      <c r="E2269" s="453"/>
    </row>
    <row r="2270" spans="3:5" ht="15">
      <c r="C2270" s="453"/>
      <c r="D2270" s="453"/>
      <c r="E2270" s="453"/>
    </row>
    <row r="2271" spans="3:5" ht="15">
      <c r="C2271" s="453"/>
      <c r="D2271" s="453"/>
      <c r="E2271" s="453"/>
    </row>
    <row r="2272" spans="3:5" ht="15">
      <c r="C2272" s="453"/>
      <c r="D2272" s="453"/>
      <c r="E2272" s="453"/>
    </row>
    <row r="2273" spans="3:5" ht="15">
      <c r="C2273" s="453"/>
      <c r="D2273" s="453"/>
      <c r="E2273" s="453"/>
    </row>
    <row r="2274" spans="3:5" ht="15">
      <c r="C2274" s="453"/>
      <c r="D2274" s="453"/>
      <c r="E2274" s="453"/>
    </row>
    <row r="2275" spans="3:5" ht="15">
      <c r="C2275" s="453"/>
      <c r="D2275" s="453"/>
      <c r="E2275" s="453"/>
    </row>
    <row r="2276" spans="3:5" ht="15">
      <c r="C2276" s="453"/>
      <c r="D2276" s="453"/>
      <c r="E2276" s="453"/>
    </row>
    <row r="2277" spans="3:5" ht="15">
      <c r="C2277" s="453"/>
      <c r="D2277" s="453"/>
      <c r="E2277" s="453"/>
    </row>
    <row r="2278" spans="3:5" ht="15">
      <c r="C2278" s="453"/>
      <c r="D2278" s="453"/>
      <c r="E2278" s="453"/>
    </row>
    <row r="2279" spans="3:5" ht="15">
      <c r="C2279" s="453"/>
      <c r="D2279" s="453"/>
      <c r="E2279" s="453"/>
    </row>
    <row r="2280" spans="3:5" ht="15">
      <c r="C2280" s="453"/>
      <c r="D2280" s="453"/>
      <c r="E2280" s="453"/>
    </row>
    <row r="2281" spans="3:5" ht="15">
      <c r="C2281" s="453"/>
      <c r="D2281" s="453"/>
      <c r="E2281" s="453"/>
    </row>
    <row r="2282" spans="3:5" ht="15">
      <c r="C2282" s="453"/>
      <c r="D2282" s="453"/>
      <c r="E2282" s="453"/>
    </row>
    <row r="2283" spans="3:5" ht="15">
      <c r="C2283" s="453"/>
      <c r="D2283" s="453"/>
      <c r="E2283" s="453"/>
    </row>
    <row r="2284" spans="3:5" ht="15">
      <c r="C2284" s="453"/>
      <c r="D2284" s="453"/>
      <c r="E2284" s="453"/>
    </row>
    <row r="2285" spans="3:5" ht="15">
      <c r="C2285" s="453"/>
      <c r="D2285" s="453"/>
      <c r="E2285" s="453"/>
    </row>
    <row r="2286" spans="3:5" ht="15">
      <c r="C2286" s="453"/>
      <c r="D2286" s="453"/>
      <c r="E2286" s="453"/>
    </row>
    <row r="2287" spans="3:5" ht="15">
      <c r="C2287" s="453"/>
      <c r="D2287" s="453"/>
      <c r="E2287" s="453"/>
    </row>
    <row r="2288" spans="3:5" ht="15">
      <c r="C2288" s="453"/>
      <c r="D2288" s="453"/>
      <c r="E2288" s="453"/>
    </row>
    <row r="2289" spans="3:5" ht="15">
      <c r="C2289" s="453"/>
      <c r="D2289" s="453"/>
      <c r="E2289" s="453"/>
    </row>
    <row r="2290" spans="3:5" ht="15">
      <c r="C2290" s="453"/>
      <c r="D2290" s="453"/>
      <c r="E2290" s="453"/>
    </row>
    <row r="2291" spans="3:5" ht="15">
      <c r="C2291" s="453"/>
      <c r="D2291" s="453"/>
      <c r="E2291" s="453"/>
    </row>
    <row r="2292" spans="3:5" ht="15">
      <c r="C2292" s="453"/>
      <c r="D2292" s="453"/>
      <c r="E2292" s="453"/>
    </row>
    <row r="2293" spans="3:5" ht="15">
      <c r="C2293" s="453"/>
      <c r="D2293" s="453"/>
      <c r="E2293" s="453"/>
    </row>
    <row r="2294" spans="3:5" ht="15">
      <c r="C2294" s="453"/>
      <c r="D2294" s="453"/>
      <c r="E2294" s="453"/>
    </row>
    <row r="2295" spans="3:5" ht="15">
      <c r="C2295" s="453"/>
      <c r="D2295" s="453"/>
      <c r="E2295" s="453"/>
    </row>
    <row r="2296" spans="3:5" ht="15">
      <c r="C2296" s="453"/>
      <c r="D2296" s="453"/>
      <c r="E2296" s="453"/>
    </row>
    <row r="2297" spans="3:5" ht="15">
      <c r="C2297" s="453"/>
      <c r="D2297" s="453"/>
      <c r="E2297" s="453"/>
    </row>
    <row r="2298" spans="3:5" ht="15">
      <c r="C2298" s="453"/>
      <c r="D2298" s="453"/>
      <c r="E2298" s="453"/>
    </row>
    <row r="2299" spans="3:5" ht="15">
      <c r="C2299" s="453"/>
      <c r="D2299" s="453"/>
      <c r="E2299" s="453"/>
    </row>
    <row r="2300" spans="3:5" ht="15">
      <c r="C2300" s="453"/>
      <c r="D2300" s="453"/>
      <c r="E2300" s="453"/>
    </row>
    <row r="2301" spans="3:5" ht="15">
      <c r="C2301" s="453"/>
      <c r="D2301" s="453"/>
      <c r="E2301" s="453"/>
    </row>
    <row r="2302" spans="3:5" ht="15">
      <c r="C2302" s="453"/>
      <c r="D2302" s="453"/>
      <c r="E2302" s="453"/>
    </row>
    <row r="2303" spans="3:5" ht="15">
      <c r="C2303" s="453"/>
      <c r="D2303" s="453"/>
      <c r="E2303" s="453"/>
    </row>
    <row r="2304" spans="3:5" ht="15">
      <c r="C2304" s="453"/>
      <c r="D2304" s="453"/>
      <c r="E2304" s="453"/>
    </row>
    <row r="2305" spans="3:5" ht="15">
      <c r="C2305" s="453"/>
      <c r="D2305" s="453"/>
      <c r="E2305" s="453"/>
    </row>
    <row r="2306" spans="3:5" ht="15">
      <c r="C2306" s="453"/>
      <c r="D2306" s="453"/>
      <c r="E2306" s="453"/>
    </row>
    <row r="2307" spans="3:5" ht="15">
      <c r="C2307" s="453"/>
      <c r="D2307" s="453"/>
      <c r="E2307" s="453"/>
    </row>
    <row r="2308" spans="3:5" ht="15">
      <c r="C2308" s="453"/>
      <c r="D2308" s="453"/>
      <c r="E2308" s="453"/>
    </row>
    <row r="2309" spans="3:5" ht="15">
      <c r="C2309" s="453"/>
      <c r="D2309" s="453"/>
      <c r="E2309" s="453"/>
    </row>
    <row r="2310" spans="3:5" ht="15">
      <c r="C2310" s="453"/>
      <c r="D2310" s="453"/>
      <c r="E2310" s="453"/>
    </row>
    <row r="2311" spans="3:5" ht="15">
      <c r="C2311" s="453"/>
      <c r="D2311" s="453"/>
      <c r="E2311" s="453"/>
    </row>
    <row r="2312" spans="3:5" ht="15">
      <c r="C2312" s="453"/>
      <c r="D2312" s="453"/>
      <c r="E2312" s="453"/>
    </row>
    <row r="2313" spans="3:5" ht="15">
      <c r="C2313" s="453"/>
      <c r="D2313" s="453"/>
      <c r="E2313" s="453"/>
    </row>
    <row r="2314" spans="3:5" ht="15">
      <c r="C2314" s="453"/>
      <c r="D2314" s="453"/>
      <c r="E2314" s="453"/>
    </row>
    <row r="2315" spans="3:5" ht="15">
      <c r="C2315" s="453"/>
      <c r="D2315" s="453"/>
      <c r="E2315" s="453"/>
    </row>
    <row r="2316" spans="3:5" ht="15">
      <c r="C2316" s="453"/>
      <c r="D2316" s="453"/>
      <c r="E2316" s="453"/>
    </row>
    <row r="2317" spans="3:5" ht="15">
      <c r="C2317" s="453"/>
      <c r="D2317" s="453"/>
      <c r="E2317" s="453"/>
    </row>
    <row r="2318" spans="3:5" ht="15">
      <c r="C2318" s="453"/>
      <c r="D2318" s="453"/>
      <c r="E2318" s="453"/>
    </row>
    <row r="2319" spans="3:5" ht="15">
      <c r="C2319" s="453"/>
      <c r="D2319" s="453"/>
      <c r="E2319" s="453"/>
    </row>
    <row r="2320" spans="3:5" ht="15">
      <c r="C2320" s="453"/>
      <c r="D2320" s="453"/>
      <c r="E2320" s="453"/>
    </row>
    <row r="2321" spans="3:5" ht="15">
      <c r="C2321" s="453"/>
      <c r="D2321" s="453"/>
      <c r="E2321" s="453"/>
    </row>
    <row r="2322" spans="3:5" ht="15">
      <c r="C2322" s="453"/>
      <c r="D2322" s="453"/>
      <c r="E2322" s="453"/>
    </row>
    <row r="2323" spans="3:5" ht="15">
      <c r="C2323" s="453"/>
      <c r="D2323" s="453"/>
      <c r="E2323" s="453"/>
    </row>
    <row r="2324" spans="3:5" ht="15">
      <c r="C2324" s="453"/>
      <c r="D2324" s="453"/>
      <c r="E2324" s="453"/>
    </row>
    <row r="2325" spans="3:5" ht="15">
      <c r="C2325" s="453"/>
      <c r="D2325" s="453"/>
      <c r="E2325" s="453"/>
    </row>
    <row r="2326" spans="3:5" ht="15">
      <c r="C2326" s="453"/>
      <c r="D2326" s="453"/>
      <c r="E2326" s="453"/>
    </row>
    <row r="2327" spans="3:5" ht="15">
      <c r="C2327" s="453"/>
      <c r="D2327" s="453"/>
      <c r="E2327" s="453"/>
    </row>
    <row r="2328" spans="3:5" ht="15">
      <c r="C2328" s="453"/>
      <c r="D2328" s="453"/>
      <c r="E2328" s="453"/>
    </row>
    <row r="2329" spans="3:5" ht="15">
      <c r="C2329" s="453"/>
      <c r="D2329" s="453"/>
      <c r="E2329" s="453"/>
    </row>
    <row r="2330" spans="3:5" ht="15">
      <c r="C2330" s="453"/>
      <c r="D2330" s="453"/>
      <c r="E2330" s="453"/>
    </row>
    <row r="2331" spans="3:5" ht="15">
      <c r="C2331" s="453"/>
      <c r="D2331" s="453"/>
      <c r="E2331" s="453"/>
    </row>
    <row r="2332" spans="3:5" ht="15">
      <c r="C2332" s="453"/>
      <c r="D2332" s="453"/>
      <c r="E2332" s="453"/>
    </row>
    <row r="2333" spans="3:5" ht="15">
      <c r="C2333" s="453"/>
      <c r="D2333" s="453"/>
      <c r="E2333" s="453"/>
    </row>
    <row r="2334" spans="3:5" ht="15">
      <c r="C2334" s="453"/>
      <c r="D2334" s="453"/>
      <c r="E2334" s="453"/>
    </row>
    <row r="2335" spans="3:5" ht="15">
      <c r="C2335" s="453"/>
      <c r="D2335" s="453"/>
      <c r="E2335" s="453"/>
    </row>
    <row r="2336" spans="3:5" ht="15">
      <c r="C2336" s="453"/>
      <c r="D2336" s="453"/>
      <c r="E2336" s="453"/>
    </row>
    <row r="2337" spans="3:5" ht="15">
      <c r="C2337" s="453"/>
      <c r="D2337" s="453"/>
      <c r="E2337" s="453"/>
    </row>
    <row r="2338" spans="3:5" ht="15">
      <c r="C2338" s="453"/>
      <c r="D2338" s="453"/>
      <c r="E2338" s="453"/>
    </row>
    <row r="2339" spans="3:5" ht="15">
      <c r="C2339" s="453"/>
      <c r="D2339" s="453"/>
      <c r="E2339" s="453"/>
    </row>
    <row r="2340" spans="3:5" ht="15">
      <c r="C2340" s="453"/>
      <c r="D2340" s="453"/>
      <c r="E2340" s="453"/>
    </row>
    <row r="2341" spans="3:5" ht="15">
      <c r="C2341" s="453"/>
      <c r="D2341" s="453"/>
      <c r="E2341" s="453"/>
    </row>
    <row r="2342" spans="3:5" ht="15">
      <c r="C2342" s="453"/>
      <c r="D2342" s="453"/>
      <c r="E2342" s="453"/>
    </row>
    <row r="2343" spans="3:5" ht="15">
      <c r="C2343" s="453"/>
      <c r="D2343" s="453"/>
      <c r="E2343" s="453"/>
    </row>
    <row r="2344" spans="3:5" ht="15">
      <c r="C2344" s="453"/>
      <c r="D2344" s="453"/>
      <c r="E2344" s="453"/>
    </row>
    <row r="2345" spans="3:5" ht="15">
      <c r="C2345" s="453"/>
      <c r="D2345" s="453"/>
      <c r="E2345" s="453"/>
    </row>
    <row r="2346" spans="3:5" ht="15">
      <c r="C2346" s="453"/>
      <c r="D2346" s="453"/>
      <c r="E2346" s="453"/>
    </row>
    <row r="2347" spans="3:5" ht="15">
      <c r="C2347" s="453"/>
      <c r="D2347" s="453"/>
      <c r="E2347" s="453"/>
    </row>
    <row r="2348" spans="3:5" ht="15">
      <c r="C2348" s="453"/>
      <c r="D2348" s="453"/>
      <c r="E2348" s="453"/>
    </row>
    <row r="2349" spans="3:5" ht="15">
      <c r="C2349" s="453"/>
      <c r="D2349" s="453"/>
      <c r="E2349" s="453"/>
    </row>
    <row r="2350" spans="3:5" ht="15">
      <c r="C2350" s="453"/>
      <c r="D2350" s="453"/>
      <c r="E2350" s="453"/>
    </row>
    <row r="2351" spans="3:5" ht="15">
      <c r="C2351" s="453"/>
      <c r="D2351" s="453"/>
      <c r="E2351" s="453"/>
    </row>
    <row r="2352" spans="3:5" ht="15">
      <c r="C2352" s="453"/>
      <c r="D2352" s="453"/>
      <c r="E2352" s="453"/>
    </row>
    <row r="2353" spans="3:5" ht="15">
      <c r="C2353" s="453"/>
      <c r="D2353" s="453"/>
      <c r="E2353" s="453"/>
    </row>
    <row r="2354" spans="3:5" ht="15">
      <c r="C2354" s="453"/>
      <c r="D2354" s="453"/>
      <c r="E2354" s="453"/>
    </row>
    <row r="2355" spans="3:5" ht="15">
      <c r="C2355" s="453"/>
      <c r="D2355" s="453"/>
      <c r="E2355" s="453"/>
    </row>
    <row r="2356" spans="3:5" ht="15">
      <c r="C2356" s="453"/>
      <c r="D2356" s="453"/>
      <c r="E2356" s="453"/>
    </row>
    <row r="2357" spans="3:5" ht="15">
      <c r="C2357" s="453"/>
      <c r="D2357" s="453"/>
      <c r="E2357" s="453"/>
    </row>
    <row r="2358" spans="3:5" ht="15">
      <c r="C2358" s="453"/>
      <c r="D2358" s="453"/>
      <c r="E2358" s="453"/>
    </row>
    <row r="2359" spans="3:5" ht="15">
      <c r="C2359" s="453"/>
      <c r="D2359" s="453"/>
      <c r="E2359" s="453"/>
    </row>
    <row r="2360" spans="3:5" ht="15">
      <c r="C2360" s="453"/>
      <c r="D2360" s="453"/>
      <c r="E2360" s="453"/>
    </row>
    <row r="2361" spans="3:5" ht="15">
      <c r="C2361" s="453"/>
      <c r="D2361" s="453"/>
      <c r="E2361" s="453"/>
    </row>
    <row r="2362" spans="3:5" ht="15">
      <c r="C2362" s="453"/>
      <c r="D2362" s="453"/>
      <c r="E2362" s="453"/>
    </row>
    <row r="2363" spans="3:5" ht="15">
      <c r="C2363" s="453"/>
      <c r="D2363" s="453"/>
      <c r="E2363" s="453"/>
    </row>
    <row r="2364" spans="3:5" ht="15">
      <c r="C2364" s="453"/>
      <c r="D2364" s="453"/>
      <c r="E2364" s="453"/>
    </row>
    <row r="2365" spans="3:5" ht="15">
      <c r="C2365" s="453"/>
      <c r="D2365" s="453"/>
      <c r="E2365" s="453"/>
    </row>
    <row r="2366" spans="3:5" ht="15">
      <c r="C2366" s="453"/>
      <c r="D2366" s="453"/>
      <c r="E2366" s="453"/>
    </row>
    <row r="2367" spans="3:5" ht="15">
      <c r="C2367" s="453"/>
      <c r="D2367" s="453"/>
      <c r="E2367" s="453"/>
    </row>
    <row r="2368" spans="3:5" ht="15">
      <c r="C2368" s="453"/>
      <c r="D2368" s="453"/>
      <c r="E2368" s="453"/>
    </row>
    <row r="2369" spans="3:5" ht="15">
      <c r="C2369" s="453"/>
      <c r="D2369" s="453"/>
      <c r="E2369" s="453"/>
    </row>
    <row r="2370" spans="3:5" ht="15">
      <c r="C2370" s="453"/>
      <c r="D2370" s="453"/>
      <c r="E2370" s="453"/>
    </row>
    <row r="2371" spans="3:5" ht="15">
      <c r="C2371" s="453"/>
      <c r="D2371" s="453"/>
      <c r="E2371" s="453"/>
    </row>
    <row r="2372" spans="3:5" ht="15">
      <c r="C2372" s="453"/>
      <c r="D2372" s="453"/>
      <c r="E2372" s="453"/>
    </row>
    <row r="2373" spans="3:5" ht="15">
      <c r="C2373" s="453"/>
      <c r="D2373" s="453"/>
      <c r="E2373" s="453"/>
    </row>
    <row r="2374" spans="3:5" ht="15">
      <c r="C2374" s="453"/>
      <c r="D2374" s="453"/>
      <c r="E2374" s="453"/>
    </row>
    <row r="2375" spans="3:5" ht="15">
      <c r="C2375" s="453"/>
      <c r="D2375" s="453"/>
      <c r="E2375" s="453"/>
    </row>
    <row r="2376" spans="3:5" ht="15">
      <c r="C2376" s="453"/>
      <c r="D2376" s="453"/>
      <c r="E2376" s="453"/>
    </row>
    <row r="2377" spans="3:5" ht="15">
      <c r="C2377" s="453"/>
      <c r="D2377" s="453"/>
      <c r="E2377" s="453"/>
    </row>
    <row r="2378" spans="3:5" ht="15">
      <c r="C2378" s="453"/>
      <c r="D2378" s="453"/>
      <c r="E2378" s="453"/>
    </row>
    <row r="2379" spans="3:5" ht="15">
      <c r="C2379" s="453"/>
      <c r="D2379" s="453"/>
      <c r="E2379" s="453"/>
    </row>
    <row r="2380" spans="3:5" ht="15">
      <c r="C2380" s="453"/>
      <c r="D2380" s="453"/>
      <c r="E2380" s="453"/>
    </row>
    <row r="2381" spans="3:5" ht="15">
      <c r="C2381" s="453"/>
      <c r="D2381" s="453"/>
      <c r="E2381" s="453"/>
    </row>
    <row r="2382" spans="3:5" ht="15">
      <c r="C2382" s="453"/>
      <c r="D2382" s="453"/>
      <c r="E2382" s="453"/>
    </row>
    <row r="2383" spans="3:5" ht="15">
      <c r="C2383" s="453"/>
      <c r="D2383" s="453"/>
      <c r="E2383" s="453"/>
    </row>
    <row r="2384" spans="3:5" ht="15">
      <c r="C2384" s="453"/>
      <c r="D2384" s="453"/>
      <c r="E2384" s="453"/>
    </row>
    <row r="2385" spans="3:5" ht="15">
      <c r="C2385" s="453"/>
      <c r="D2385" s="453"/>
      <c r="E2385" s="453"/>
    </row>
    <row r="2386" spans="3:5" ht="15">
      <c r="C2386" s="453"/>
      <c r="D2386" s="453"/>
      <c r="E2386" s="453"/>
    </row>
    <row r="2387" spans="3:5" ht="15">
      <c r="C2387" s="453"/>
      <c r="D2387" s="453"/>
      <c r="E2387" s="453"/>
    </row>
    <row r="2388" spans="3:5" ht="15">
      <c r="C2388" s="453"/>
      <c r="D2388" s="453"/>
      <c r="E2388" s="453"/>
    </row>
    <row r="2389" spans="3:5" ht="15">
      <c r="C2389" s="453"/>
      <c r="D2389" s="453"/>
      <c r="E2389" s="453"/>
    </row>
    <row r="2390" spans="3:5" ht="15">
      <c r="C2390" s="453"/>
      <c r="D2390" s="453"/>
      <c r="E2390" s="453"/>
    </row>
    <row r="2391" spans="3:5" ht="15">
      <c r="C2391" s="453"/>
      <c r="D2391" s="453"/>
      <c r="E2391" s="453"/>
    </row>
    <row r="2392" spans="3:5" ht="15">
      <c r="C2392" s="453"/>
      <c r="D2392" s="453"/>
      <c r="E2392" s="453"/>
    </row>
    <row r="2393" spans="3:5" ht="15">
      <c r="C2393" s="453"/>
      <c r="D2393" s="453"/>
      <c r="E2393" s="453"/>
    </row>
    <row r="2394" spans="3:5" ht="15">
      <c r="C2394" s="453"/>
      <c r="D2394" s="453"/>
      <c r="E2394" s="453"/>
    </row>
    <row r="2395" spans="3:5" ht="15">
      <c r="C2395" s="453"/>
      <c r="D2395" s="453"/>
      <c r="E2395" s="453"/>
    </row>
    <row r="2396" spans="3:5" ht="15">
      <c r="C2396" s="453"/>
      <c r="D2396" s="453"/>
      <c r="E2396" s="453"/>
    </row>
    <row r="2397" spans="3:5" ht="15">
      <c r="C2397" s="453"/>
      <c r="D2397" s="453"/>
      <c r="E2397" s="453"/>
    </row>
    <row r="2398" spans="3:5" ht="15">
      <c r="C2398" s="453"/>
      <c r="D2398" s="453"/>
      <c r="E2398" s="453"/>
    </row>
    <row r="2399" spans="3:5" ht="15">
      <c r="C2399" s="453"/>
      <c r="D2399" s="453"/>
      <c r="E2399" s="453"/>
    </row>
    <row r="2400" spans="3:5" ht="15">
      <c r="C2400" s="453"/>
      <c r="D2400" s="453"/>
      <c r="E2400" s="453"/>
    </row>
    <row r="2401" spans="3:5" ht="15">
      <c r="C2401" s="453"/>
      <c r="D2401" s="453"/>
      <c r="E2401" s="453"/>
    </row>
    <row r="2402" spans="3:5" ht="15">
      <c r="C2402" s="453"/>
      <c r="D2402" s="453"/>
      <c r="E2402" s="453"/>
    </row>
    <row r="2403" spans="3:5" ht="15">
      <c r="C2403" s="453"/>
      <c r="D2403" s="453"/>
      <c r="E2403" s="453"/>
    </row>
    <row r="2404" spans="3:5" ht="15">
      <c r="C2404" s="453"/>
      <c r="D2404" s="453"/>
      <c r="E2404" s="453"/>
    </row>
    <row r="2405" spans="3:5" ht="15">
      <c r="C2405" s="453"/>
      <c r="D2405" s="453"/>
      <c r="E2405" s="453"/>
    </row>
    <row r="2406" spans="3:5" ht="15">
      <c r="C2406" s="453"/>
      <c r="D2406" s="453"/>
      <c r="E2406" s="453"/>
    </row>
    <row r="2407" spans="3:5" ht="15">
      <c r="C2407" s="453"/>
      <c r="D2407" s="453"/>
      <c r="E2407" s="453"/>
    </row>
    <row r="2408" spans="3:5" ht="15">
      <c r="C2408" s="453"/>
      <c r="D2408" s="453"/>
      <c r="E2408" s="453"/>
    </row>
    <row r="2409" spans="3:5" ht="15">
      <c r="C2409" s="453"/>
      <c r="D2409" s="453"/>
      <c r="E2409" s="453"/>
    </row>
    <row r="2410" spans="3:5" ht="15">
      <c r="C2410" s="453"/>
      <c r="D2410" s="453"/>
      <c r="E2410" s="453"/>
    </row>
    <row r="2411" spans="3:5" ht="15">
      <c r="C2411" s="453"/>
      <c r="D2411" s="453"/>
      <c r="E2411" s="453"/>
    </row>
    <row r="2412" spans="3:5" ht="15">
      <c r="C2412" s="453"/>
      <c r="D2412" s="453"/>
      <c r="E2412" s="453"/>
    </row>
    <row r="2413" spans="3:5" ht="15">
      <c r="C2413" s="453"/>
      <c r="D2413" s="453"/>
      <c r="E2413" s="453"/>
    </row>
    <row r="2414" spans="3:5" ht="15">
      <c r="C2414" s="453"/>
      <c r="D2414" s="453"/>
      <c r="E2414" s="453"/>
    </row>
    <row r="2415" spans="3:5" ht="15">
      <c r="C2415" s="453"/>
      <c r="D2415" s="453"/>
      <c r="E2415" s="453"/>
    </row>
    <row r="2416" spans="3:5" ht="15">
      <c r="C2416" s="453"/>
      <c r="D2416" s="453"/>
      <c r="E2416" s="453"/>
    </row>
    <row r="2417" spans="3:5" ht="15">
      <c r="C2417" s="453"/>
      <c r="D2417" s="453"/>
      <c r="E2417" s="453"/>
    </row>
    <row r="2418" spans="3:5" ht="15">
      <c r="C2418" s="453"/>
      <c r="D2418" s="453"/>
      <c r="E2418" s="453"/>
    </row>
    <row r="2419" spans="3:5" ht="15">
      <c r="C2419" s="453"/>
      <c r="D2419" s="453"/>
      <c r="E2419" s="453"/>
    </row>
    <row r="2420" spans="3:5" ht="15">
      <c r="C2420" s="453"/>
      <c r="D2420" s="453"/>
      <c r="E2420" s="453"/>
    </row>
    <row r="2421" spans="3:5" ht="15">
      <c r="C2421" s="453"/>
      <c r="D2421" s="453"/>
      <c r="E2421" s="453"/>
    </row>
    <row r="2422" spans="3:5" ht="15">
      <c r="C2422" s="453"/>
      <c r="D2422" s="453"/>
      <c r="E2422" s="453"/>
    </row>
    <row r="2423" spans="3:5" ht="15">
      <c r="C2423" s="453"/>
      <c r="D2423" s="453"/>
      <c r="E2423" s="453"/>
    </row>
    <row r="2424" spans="3:5" ht="15">
      <c r="C2424" s="453"/>
      <c r="D2424" s="453"/>
      <c r="E2424" s="453"/>
    </row>
    <row r="2425" spans="3:5" ht="15">
      <c r="C2425" s="453"/>
      <c r="D2425" s="453"/>
      <c r="E2425" s="453"/>
    </row>
    <row r="2426" spans="3:5" ht="15">
      <c r="C2426" s="453"/>
      <c r="D2426" s="453"/>
      <c r="E2426" s="453"/>
    </row>
    <row r="2427" spans="3:5" ht="15">
      <c r="C2427" s="453"/>
      <c r="D2427" s="453"/>
      <c r="E2427" s="453"/>
    </row>
    <row r="2428" spans="3:5" ht="15">
      <c r="C2428" s="453"/>
      <c r="D2428" s="453"/>
      <c r="E2428" s="453"/>
    </row>
    <row r="2429" spans="3:5" ht="15">
      <c r="C2429" s="453"/>
      <c r="D2429" s="453"/>
      <c r="E2429" s="453"/>
    </row>
    <row r="2430" spans="3:5" ht="15">
      <c r="C2430" s="453"/>
      <c r="D2430" s="453"/>
      <c r="E2430" s="453"/>
    </row>
    <row r="2431" spans="3:5" ht="15">
      <c r="C2431" s="453"/>
      <c r="D2431" s="453"/>
      <c r="E2431" s="453"/>
    </row>
    <row r="2432" spans="3:5" ht="15">
      <c r="C2432" s="453"/>
      <c r="D2432" s="453"/>
      <c r="E2432" s="453"/>
    </row>
    <row r="2433" spans="3:5" ht="15">
      <c r="C2433" s="453"/>
      <c r="D2433" s="453"/>
      <c r="E2433" s="453"/>
    </row>
    <row r="2434" spans="3:5" ht="15">
      <c r="C2434" s="453"/>
      <c r="D2434" s="453"/>
      <c r="E2434" s="453"/>
    </row>
    <row r="2435" spans="3:5" ht="15">
      <c r="C2435" s="453"/>
      <c r="D2435" s="453"/>
      <c r="E2435" s="453"/>
    </row>
    <row r="2436" spans="3:5" ht="15">
      <c r="C2436" s="453"/>
      <c r="D2436" s="453"/>
      <c r="E2436" s="453"/>
    </row>
    <row r="2437" spans="3:5" ht="15">
      <c r="C2437" s="453"/>
      <c r="D2437" s="453"/>
      <c r="E2437" s="453"/>
    </row>
    <row r="2438" spans="3:5" ht="15">
      <c r="C2438" s="453"/>
      <c r="D2438" s="453"/>
      <c r="E2438" s="453"/>
    </row>
    <row r="2439" spans="3:5" ht="15">
      <c r="C2439" s="453"/>
      <c r="D2439" s="453"/>
      <c r="E2439" s="453"/>
    </row>
    <row r="2440" spans="3:5" ht="15">
      <c r="C2440" s="453"/>
      <c r="D2440" s="453"/>
      <c r="E2440" s="453"/>
    </row>
    <row r="2441" spans="3:5" ht="15">
      <c r="C2441" s="453"/>
      <c r="D2441" s="453"/>
      <c r="E2441" s="453"/>
    </row>
    <row r="2442" spans="3:5" ht="15">
      <c r="C2442" s="453"/>
      <c r="D2442" s="453"/>
      <c r="E2442" s="453"/>
    </row>
    <row r="2443" spans="3:5" ht="15">
      <c r="C2443" s="453"/>
      <c r="D2443" s="453"/>
      <c r="E2443" s="453"/>
    </row>
    <row r="2444" spans="3:5" ht="15">
      <c r="C2444" s="453"/>
      <c r="D2444" s="453"/>
      <c r="E2444" s="453"/>
    </row>
    <row r="2445" spans="3:5" ht="15">
      <c r="C2445" s="453"/>
      <c r="D2445" s="453"/>
      <c r="E2445" s="453"/>
    </row>
    <row r="2446" spans="3:5" ht="15">
      <c r="C2446" s="453"/>
      <c r="D2446" s="453"/>
      <c r="E2446" s="453"/>
    </row>
    <row r="2447" spans="3:5" ht="15">
      <c r="C2447" s="453"/>
      <c r="D2447" s="453"/>
      <c r="E2447" s="453"/>
    </row>
    <row r="2448" spans="3:5" ht="15">
      <c r="C2448" s="453"/>
      <c r="D2448" s="453"/>
      <c r="E2448" s="453"/>
    </row>
    <row r="2449" spans="3:5" ht="15">
      <c r="C2449" s="453"/>
      <c r="D2449" s="453"/>
      <c r="E2449" s="453"/>
    </row>
    <row r="2450" spans="3:5" ht="15">
      <c r="C2450" s="453"/>
      <c r="D2450" s="453"/>
      <c r="E2450" s="453"/>
    </row>
    <row r="2451" spans="3:5" ht="15">
      <c r="C2451" s="453"/>
      <c r="D2451" s="453"/>
      <c r="E2451" s="453"/>
    </row>
    <row r="2452" spans="3:5" ht="15">
      <c r="C2452" s="453"/>
      <c r="D2452" s="453"/>
      <c r="E2452" s="453"/>
    </row>
    <row r="2453" spans="3:5" ht="15">
      <c r="C2453" s="453"/>
      <c r="D2453" s="453"/>
      <c r="E2453" s="453"/>
    </row>
    <row r="2454" spans="3:5" ht="15">
      <c r="C2454" s="453"/>
      <c r="D2454" s="453"/>
      <c r="E2454" s="453"/>
    </row>
    <row r="2455" spans="3:5" ht="15">
      <c r="C2455" s="453"/>
      <c r="D2455" s="453"/>
      <c r="E2455" s="453"/>
    </row>
    <row r="2456" spans="3:5" ht="15">
      <c r="C2456" s="453"/>
      <c r="D2456" s="453"/>
      <c r="E2456" s="453"/>
    </row>
    <row r="2457" spans="3:5" ht="15">
      <c r="C2457" s="453"/>
      <c r="D2457" s="453"/>
      <c r="E2457" s="453"/>
    </row>
    <row r="2458" spans="3:5" ht="15">
      <c r="C2458" s="453"/>
      <c r="D2458" s="453"/>
      <c r="E2458" s="453"/>
    </row>
    <row r="2459" spans="3:5" ht="15">
      <c r="C2459" s="453"/>
      <c r="D2459" s="453"/>
      <c r="E2459" s="453"/>
    </row>
    <row r="2460" spans="3:5" ht="15">
      <c r="C2460" s="453"/>
      <c r="D2460" s="453"/>
      <c r="E2460" s="453"/>
    </row>
    <row r="2461" spans="3:5" ht="15">
      <c r="C2461" s="453"/>
      <c r="D2461" s="453"/>
      <c r="E2461" s="453"/>
    </row>
    <row r="2462" spans="3:5" ht="15">
      <c r="C2462" s="453"/>
      <c r="D2462" s="453"/>
      <c r="E2462" s="453"/>
    </row>
    <row r="2463" spans="3:5" ht="15">
      <c r="C2463" s="453"/>
      <c r="D2463" s="453"/>
      <c r="E2463" s="453"/>
    </row>
    <row r="2464" spans="3:5" ht="15">
      <c r="C2464" s="453"/>
      <c r="D2464" s="453"/>
      <c r="E2464" s="453"/>
    </row>
    <row r="2465" spans="3:5" ht="15">
      <c r="C2465" s="453"/>
      <c r="D2465" s="453"/>
      <c r="E2465" s="453"/>
    </row>
    <row r="2466" spans="3:5" ht="15">
      <c r="C2466" s="453"/>
      <c r="D2466" s="453"/>
      <c r="E2466" s="453"/>
    </row>
    <row r="2467" spans="3:5" ht="15">
      <c r="C2467" s="453"/>
      <c r="D2467" s="453"/>
      <c r="E2467" s="453"/>
    </row>
    <row r="2468" spans="3:5" ht="15">
      <c r="C2468" s="453"/>
      <c r="D2468" s="453"/>
      <c r="E2468" s="453"/>
    </row>
    <row r="2469" spans="3:5" ht="15">
      <c r="C2469" s="453"/>
      <c r="D2469" s="453"/>
      <c r="E2469" s="453"/>
    </row>
    <row r="2470" spans="3:5" ht="15">
      <c r="C2470" s="453"/>
      <c r="D2470" s="453"/>
      <c r="E2470" s="453"/>
    </row>
    <row r="2471" spans="3:5" ht="15">
      <c r="C2471" s="453"/>
      <c r="D2471" s="453"/>
      <c r="E2471" s="453"/>
    </row>
    <row r="2472" spans="3:5" ht="15">
      <c r="C2472" s="453"/>
      <c r="D2472" s="453"/>
      <c r="E2472" s="453"/>
    </row>
    <row r="2473" spans="3:5" ht="15">
      <c r="C2473" s="453"/>
      <c r="D2473" s="453"/>
      <c r="E2473" s="453"/>
    </row>
    <row r="2474" spans="3:5" ht="15">
      <c r="C2474" s="453"/>
      <c r="D2474" s="453"/>
      <c r="E2474" s="453"/>
    </row>
    <row r="2475" spans="3:5" ht="15">
      <c r="C2475" s="453"/>
      <c r="D2475" s="453"/>
      <c r="E2475" s="453"/>
    </row>
    <row r="2476" spans="3:5" ht="15">
      <c r="C2476" s="453"/>
      <c r="D2476" s="453"/>
      <c r="E2476" s="453"/>
    </row>
    <row r="2477" spans="3:5" ht="15">
      <c r="C2477" s="453"/>
      <c r="D2477" s="453"/>
      <c r="E2477" s="453"/>
    </row>
    <row r="2478" spans="3:5" ht="15">
      <c r="C2478" s="453"/>
      <c r="D2478" s="453"/>
      <c r="E2478" s="453"/>
    </row>
    <row r="2479" spans="3:5" ht="15">
      <c r="C2479" s="453"/>
      <c r="D2479" s="453"/>
      <c r="E2479" s="453"/>
    </row>
    <row r="2480" spans="3:5" ht="15">
      <c r="C2480" s="453"/>
      <c r="D2480" s="453"/>
      <c r="E2480" s="453"/>
    </row>
    <row r="2481" spans="3:5" ht="15">
      <c r="C2481" s="453"/>
      <c r="D2481" s="453"/>
      <c r="E2481" s="453"/>
    </row>
    <row r="2482" spans="3:5" ht="15">
      <c r="C2482" s="453"/>
      <c r="D2482" s="453"/>
      <c r="E2482" s="453"/>
    </row>
    <row r="2483" spans="3:5" ht="15">
      <c r="C2483" s="453"/>
      <c r="D2483" s="453"/>
      <c r="E2483" s="453"/>
    </row>
    <row r="2484" spans="3:5" ht="15">
      <c r="C2484" s="453"/>
      <c r="D2484" s="453"/>
      <c r="E2484" s="453"/>
    </row>
    <row r="2485" spans="3:5" ht="15">
      <c r="C2485" s="453"/>
      <c r="D2485" s="453"/>
      <c r="E2485" s="453"/>
    </row>
    <row r="2486" spans="3:5" ht="15">
      <c r="C2486" s="453"/>
      <c r="D2486" s="453"/>
      <c r="E2486" s="453"/>
    </row>
    <row r="2487" spans="3:5" ht="15">
      <c r="C2487" s="453"/>
      <c r="D2487" s="453"/>
      <c r="E2487" s="453"/>
    </row>
    <row r="2488" spans="3:5" ht="15">
      <c r="C2488" s="453"/>
      <c r="D2488" s="453"/>
      <c r="E2488" s="453"/>
    </row>
    <row r="2489" spans="3:5" ht="15">
      <c r="C2489" s="453"/>
      <c r="D2489" s="453"/>
      <c r="E2489" s="453"/>
    </row>
    <row r="2490" spans="3:5" ht="15">
      <c r="C2490" s="453"/>
      <c r="D2490" s="453"/>
      <c r="E2490" s="453"/>
    </row>
    <row r="2491" spans="3:5" ht="15">
      <c r="C2491" s="453"/>
      <c r="D2491" s="453"/>
      <c r="E2491" s="453"/>
    </row>
    <row r="2492" spans="3:5" ht="15">
      <c r="C2492" s="453"/>
      <c r="D2492" s="453"/>
      <c r="E2492" s="453"/>
    </row>
    <row r="2493" spans="3:5" ht="15">
      <c r="C2493" s="453"/>
      <c r="D2493" s="453"/>
      <c r="E2493" s="453"/>
    </row>
    <row r="2494" spans="3:5" ht="15">
      <c r="C2494" s="453"/>
      <c r="D2494" s="453"/>
      <c r="E2494" s="453"/>
    </row>
    <row r="2495" spans="3:5" ht="15">
      <c r="C2495" s="453"/>
      <c r="D2495" s="453"/>
      <c r="E2495" s="453"/>
    </row>
    <row r="2496" spans="3:5" ht="15">
      <c r="C2496" s="453"/>
      <c r="D2496" s="453"/>
      <c r="E2496" s="453"/>
    </row>
    <row r="2497" spans="3:5" ht="15">
      <c r="C2497" s="453"/>
      <c r="D2497" s="453"/>
      <c r="E2497" s="453"/>
    </row>
    <row r="2498" spans="3:5" ht="15">
      <c r="C2498" s="453"/>
      <c r="D2498" s="453"/>
      <c r="E2498" s="453"/>
    </row>
    <row r="2499" spans="3:5" ht="15">
      <c r="C2499" s="453"/>
      <c r="D2499" s="453"/>
      <c r="E2499" s="453"/>
    </row>
    <row r="2500" spans="3:5" ht="15">
      <c r="C2500" s="453"/>
      <c r="D2500" s="453"/>
      <c r="E2500" s="453"/>
    </row>
    <row r="2501" spans="3:5" ht="15">
      <c r="C2501" s="453"/>
      <c r="D2501" s="453"/>
      <c r="E2501" s="453"/>
    </row>
    <row r="2502" spans="3:5" ht="15">
      <c r="C2502" s="453"/>
      <c r="D2502" s="453"/>
      <c r="E2502" s="453"/>
    </row>
    <row r="2503" spans="3:5" ht="15">
      <c r="C2503" s="453"/>
      <c r="D2503" s="453"/>
      <c r="E2503" s="453"/>
    </row>
    <row r="2504" spans="3:5" ht="15">
      <c r="C2504" s="453"/>
      <c r="D2504" s="453"/>
      <c r="E2504" s="453"/>
    </row>
    <row r="2505" spans="3:5" ht="15">
      <c r="C2505" s="453"/>
      <c r="D2505" s="453"/>
      <c r="E2505" s="453"/>
    </row>
    <row r="2506" spans="3:5" ht="15">
      <c r="C2506" s="453"/>
      <c r="D2506" s="453"/>
      <c r="E2506" s="453"/>
    </row>
    <row r="2507" spans="3:5" ht="15">
      <c r="C2507" s="453"/>
      <c r="D2507" s="453"/>
      <c r="E2507" s="453"/>
    </row>
    <row r="2508" spans="3:5" ht="15">
      <c r="C2508" s="453"/>
      <c r="D2508" s="453"/>
      <c r="E2508" s="453"/>
    </row>
    <row r="2509" spans="3:5" ht="15">
      <c r="C2509" s="453"/>
      <c r="D2509" s="453"/>
      <c r="E2509" s="453"/>
    </row>
    <row r="2510" spans="3:5" ht="15">
      <c r="C2510" s="453"/>
      <c r="D2510" s="453"/>
      <c r="E2510" s="453"/>
    </row>
    <row r="2511" spans="3:5" ht="15">
      <c r="C2511" s="453"/>
      <c r="D2511" s="453"/>
      <c r="E2511" s="453"/>
    </row>
    <row r="2512" spans="3:5" ht="15">
      <c r="C2512" s="453"/>
      <c r="D2512" s="453"/>
      <c r="E2512" s="453"/>
    </row>
    <row r="2513" spans="3:5" ht="15">
      <c r="C2513" s="453"/>
      <c r="D2513" s="453"/>
      <c r="E2513" s="453"/>
    </row>
    <row r="2514" spans="3:5" ht="15">
      <c r="C2514" s="453"/>
      <c r="D2514" s="453"/>
      <c r="E2514" s="453"/>
    </row>
    <row r="2515" spans="3:5" ht="15">
      <c r="C2515" s="453"/>
      <c r="D2515" s="453"/>
      <c r="E2515" s="453"/>
    </row>
    <row r="2516" spans="3:5" ht="15">
      <c r="C2516" s="453"/>
      <c r="D2516" s="453"/>
      <c r="E2516" s="453"/>
    </row>
    <row r="2517" spans="3:5" ht="15">
      <c r="C2517" s="453"/>
      <c r="D2517" s="453"/>
      <c r="E2517" s="453"/>
    </row>
    <row r="2518" spans="3:5" ht="15">
      <c r="C2518" s="453"/>
      <c r="D2518" s="453"/>
      <c r="E2518" s="453"/>
    </row>
    <row r="2519" spans="3:5" ht="15">
      <c r="C2519" s="453"/>
      <c r="D2519" s="453"/>
      <c r="E2519" s="453"/>
    </row>
    <row r="2520" spans="3:5" ht="15">
      <c r="C2520" s="453"/>
      <c r="D2520" s="453"/>
      <c r="E2520" s="453"/>
    </row>
    <row r="2521" spans="3:5" ht="15">
      <c r="C2521" s="453"/>
      <c r="D2521" s="453"/>
      <c r="E2521" s="453"/>
    </row>
    <row r="2522" spans="3:5" ht="15">
      <c r="C2522" s="453"/>
      <c r="D2522" s="453"/>
      <c r="E2522" s="453"/>
    </row>
    <row r="2523" spans="3:5" ht="15">
      <c r="C2523" s="453"/>
      <c r="D2523" s="453"/>
      <c r="E2523" s="453"/>
    </row>
    <row r="2524" spans="3:5" ht="15">
      <c r="C2524" s="453"/>
      <c r="D2524" s="453"/>
      <c r="E2524" s="453"/>
    </row>
    <row r="2525" spans="3:5" ht="15">
      <c r="C2525" s="453"/>
      <c r="D2525" s="453"/>
      <c r="E2525" s="453"/>
    </row>
    <row r="2526" spans="3:5" ht="15">
      <c r="C2526" s="453"/>
      <c r="D2526" s="453"/>
      <c r="E2526" s="453"/>
    </row>
    <row r="2527" spans="3:5" ht="15">
      <c r="C2527" s="453"/>
      <c r="D2527" s="453"/>
      <c r="E2527" s="453"/>
    </row>
    <row r="2528" spans="3:5" ht="15">
      <c r="C2528" s="453"/>
      <c r="D2528" s="453"/>
      <c r="E2528" s="453"/>
    </row>
    <row r="2529" spans="3:5" ht="15">
      <c r="C2529" s="453"/>
      <c r="D2529" s="453"/>
      <c r="E2529" s="453"/>
    </row>
    <row r="2530" spans="3:5" ht="15">
      <c r="C2530" s="453"/>
      <c r="D2530" s="453"/>
      <c r="E2530" s="453"/>
    </row>
    <row r="2531" spans="3:5" ht="15">
      <c r="C2531" s="453"/>
      <c r="D2531" s="453"/>
      <c r="E2531" s="453"/>
    </row>
    <row r="2532" spans="3:5" ht="15">
      <c r="C2532" s="453"/>
      <c r="D2532" s="453"/>
      <c r="E2532" s="453"/>
    </row>
    <row r="2533" spans="3:5" ht="15">
      <c r="C2533" s="453"/>
      <c r="D2533" s="453"/>
      <c r="E2533" s="453"/>
    </row>
    <row r="2534" spans="3:5" ht="15">
      <c r="C2534" s="453"/>
      <c r="D2534" s="453"/>
      <c r="E2534" s="453"/>
    </row>
    <row r="2535" spans="3:5" ht="15">
      <c r="C2535" s="453"/>
      <c r="D2535" s="453"/>
      <c r="E2535" s="453"/>
    </row>
    <row r="2536" spans="3:5" ht="15">
      <c r="C2536" s="453"/>
      <c r="D2536" s="453"/>
      <c r="E2536" s="453"/>
    </row>
    <row r="2537" spans="3:5" ht="15">
      <c r="C2537" s="453"/>
      <c r="D2537" s="453"/>
      <c r="E2537" s="453"/>
    </row>
    <row r="2538" spans="3:5" ht="15">
      <c r="C2538" s="453"/>
      <c r="D2538" s="453"/>
      <c r="E2538" s="453"/>
    </row>
    <row r="2539" spans="3:5" ht="15">
      <c r="C2539" s="453"/>
      <c r="D2539" s="453"/>
      <c r="E2539" s="453"/>
    </row>
    <row r="2540" spans="3:5" ht="15">
      <c r="C2540" s="453"/>
      <c r="D2540" s="453"/>
      <c r="E2540" s="453"/>
    </row>
    <row r="2541" spans="3:5" ht="15">
      <c r="C2541" s="453"/>
      <c r="D2541" s="453"/>
      <c r="E2541" s="453"/>
    </row>
    <row r="2542" spans="3:5" ht="15">
      <c r="C2542" s="453"/>
      <c r="D2542" s="453"/>
      <c r="E2542" s="453"/>
    </row>
    <row r="2543" spans="3:5" ht="15">
      <c r="C2543" s="453"/>
      <c r="D2543" s="453"/>
      <c r="E2543" s="453"/>
    </row>
    <row r="2544" spans="3:5" ht="15">
      <c r="C2544" s="453"/>
      <c r="D2544" s="453"/>
      <c r="E2544" s="453"/>
    </row>
    <row r="2545" spans="3:5" ht="15">
      <c r="C2545" s="453"/>
      <c r="D2545" s="453"/>
      <c r="E2545" s="453"/>
    </row>
    <row r="2546" spans="3:5" ht="15">
      <c r="C2546" s="453"/>
      <c r="D2546" s="453"/>
      <c r="E2546" s="453"/>
    </row>
    <row r="2547" spans="3:5" ht="15">
      <c r="C2547" s="453"/>
      <c r="D2547" s="453"/>
      <c r="E2547" s="453"/>
    </row>
    <row r="2548" spans="3:5" ht="15">
      <c r="C2548" s="453"/>
      <c r="D2548" s="453"/>
      <c r="E2548" s="453"/>
    </row>
    <row r="2549" spans="3:5" ht="15">
      <c r="C2549" s="453"/>
      <c r="D2549" s="453"/>
      <c r="E2549" s="453"/>
    </row>
    <row r="2550" spans="3:5" ht="15">
      <c r="C2550" s="453"/>
      <c r="D2550" s="453"/>
      <c r="E2550" s="453"/>
    </row>
    <row r="2551" spans="3:5" ht="15">
      <c r="C2551" s="453"/>
      <c r="D2551" s="453"/>
      <c r="E2551" s="453"/>
    </row>
    <row r="2552" spans="3:5" ht="15">
      <c r="C2552" s="453"/>
      <c r="D2552" s="453"/>
      <c r="E2552" s="453"/>
    </row>
    <row r="2553" spans="3:5" ht="15">
      <c r="C2553" s="453"/>
      <c r="D2553" s="453"/>
      <c r="E2553" s="453"/>
    </row>
    <row r="2554" spans="3:5" ht="15">
      <c r="C2554" s="453"/>
      <c r="D2554" s="453"/>
      <c r="E2554" s="453"/>
    </row>
    <row r="2555" spans="3:5" ht="15">
      <c r="C2555" s="453"/>
      <c r="D2555" s="453"/>
      <c r="E2555" s="453"/>
    </row>
    <row r="2556" spans="3:5" ht="15">
      <c r="C2556" s="453"/>
      <c r="D2556" s="453"/>
      <c r="E2556" s="453"/>
    </row>
    <row r="2557" spans="3:5" ht="15">
      <c r="C2557" s="453"/>
      <c r="D2557" s="453"/>
      <c r="E2557" s="453"/>
    </row>
    <row r="2558" spans="3:5" ht="15">
      <c r="C2558" s="453"/>
      <c r="D2558" s="453"/>
      <c r="E2558" s="453"/>
    </row>
    <row r="2559" spans="3:5" ht="15">
      <c r="C2559" s="453"/>
      <c r="D2559" s="453"/>
      <c r="E2559" s="453"/>
    </row>
    <row r="2560" spans="3:5" ht="15">
      <c r="C2560" s="453"/>
      <c r="D2560" s="453"/>
      <c r="E2560" s="453"/>
    </row>
    <row r="2561" spans="3:5" ht="15">
      <c r="C2561" s="453"/>
      <c r="D2561" s="453"/>
      <c r="E2561" s="453"/>
    </row>
    <row r="2562" spans="3:5" ht="15">
      <c r="C2562" s="453"/>
      <c r="D2562" s="453"/>
      <c r="E2562" s="453"/>
    </row>
    <row r="2563" spans="3:5" ht="15">
      <c r="C2563" s="453"/>
      <c r="D2563" s="453"/>
      <c r="E2563" s="453"/>
    </row>
    <row r="2564" spans="3:5" ht="15">
      <c r="C2564" s="453"/>
      <c r="D2564" s="453"/>
      <c r="E2564" s="453"/>
    </row>
    <row r="2565" spans="3:5" ht="15">
      <c r="C2565" s="453"/>
      <c r="D2565" s="453"/>
      <c r="E2565" s="453"/>
    </row>
    <row r="2566" spans="3:5" ht="15">
      <c r="C2566" s="453"/>
      <c r="D2566" s="453"/>
      <c r="E2566" s="453"/>
    </row>
    <row r="2567" spans="3:5" ht="15">
      <c r="C2567" s="453"/>
      <c r="D2567" s="453"/>
      <c r="E2567" s="453"/>
    </row>
    <row r="2568" spans="3:5" ht="15">
      <c r="C2568" s="453"/>
      <c r="D2568" s="453"/>
      <c r="E2568" s="453"/>
    </row>
    <row r="2569" spans="3:5" ht="15">
      <c r="C2569" s="453"/>
      <c r="D2569" s="453"/>
      <c r="E2569" s="453"/>
    </row>
    <row r="2570" spans="3:5" ht="15">
      <c r="C2570" s="453"/>
      <c r="D2570" s="453"/>
      <c r="E2570" s="453"/>
    </row>
    <row r="2571" spans="3:5" ht="15">
      <c r="C2571" s="453"/>
      <c r="D2571" s="453"/>
      <c r="E2571" s="453"/>
    </row>
    <row r="2572" spans="3:5" ht="15">
      <c r="C2572" s="453"/>
      <c r="D2572" s="453"/>
      <c r="E2572" s="453"/>
    </row>
    <row r="2573" spans="3:5" ht="15">
      <c r="C2573" s="453"/>
      <c r="D2573" s="453"/>
      <c r="E2573" s="453"/>
    </row>
    <row r="2574" spans="3:5" ht="15">
      <c r="C2574" s="453"/>
      <c r="D2574" s="453"/>
      <c r="E2574" s="453"/>
    </row>
    <row r="2575" spans="3:5" ht="15">
      <c r="C2575" s="453"/>
      <c r="D2575" s="453"/>
      <c r="E2575" s="453"/>
    </row>
    <row r="2576" spans="3:5" ht="15">
      <c r="C2576" s="453"/>
      <c r="D2576" s="453"/>
      <c r="E2576" s="453"/>
    </row>
    <row r="2577" spans="3:5" ht="15">
      <c r="C2577" s="453"/>
      <c r="D2577" s="453"/>
      <c r="E2577" s="453"/>
    </row>
    <row r="2578" spans="3:5" ht="15">
      <c r="C2578" s="453"/>
      <c r="D2578" s="453"/>
      <c r="E2578" s="453"/>
    </row>
    <row r="2579" spans="3:5" ht="15">
      <c r="C2579" s="453"/>
      <c r="D2579" s="453"/>
      <c r="E2579" s="453"/>
    </row>
    <row r="2580" spans="3:5" ht="15">
      <c r="C2580" s="453"/>
      <c r="D2580" s="453"/>
      <c r="E2580" s="453"/>
    </row>
    <row r="2581" spans="3:5" ht="15">
      <c r="C2581" s="453"/>
      <c r="D2581" s="453"/>
      <c r="E2581" s="453"/>
    </row>
    <row r="2582" spans="3:5" ht="15">
      <c r="C2582" s="453"/>
      <c r="D2582" s="453"/>
      <c r="E2582" s="453"/>
    </row>
    <row r="2583" spans="3:5" ht="15">
      <c r="C2583" s="453"/>
      <c r="D2583" s="453"/>
      <c r="E2583" s="453"/>
    </row>
    <row r="2584" spans="3:5" ht="15">
      <c r="C2584" s="453"/>
      <c r="D2584" s="453"/>
      <c r="E2584" s="453"/>
    </row>
    <row r="2585" spans="3:5" ht="15">
      <c r="C2585" s="453"/>
      <c r="D2585" s="453"/>
      <c r="E2585" s="453"/>
    </row>
    <row r="2586" spans="3:5" ht="15">
      <c r="C2586" s="453"/>
      <c r="D2586" s="453"/>
      <c r="E2586" s="453"/>
    </row>
    <row r="2587" spans="3:5" ht="15">
      <c r="C2587" s="453"/>
      <c r="D2587" s="453"/>
      <c r="E2587" s="453"/>
    </row>
    <row r="2588" spans="3:5" ht="15">
      <c r="C2588" s="453"/>
      <c r="D2588" s="453"/>
      <c r="E2588" s="453"/>
    </row>
    <row r="2589" spans="3:5" ht="15">
      <c r="C2589" s="453"/>
      <c r="D2589" s="453"/>
      <c r="E2589" s="453"/>
    </row>
    <row r="2590" spans="3:5" ht="15">
      <c r="C2590" s="453"/>
      <c r="D2590" s="453"/>
      <c r="E2590" s="453"/>
    </row>
    <row r="2591" spans="3:5" ht="15">
      <c r="C2591" s="453"/>
      <c r="D2591" s="453"/>
      <c r="E2591" s="453"/>
    </row>
    <row r="2592" spans="3:5" ht="15">
      <c r="C2592" s="453"/>
      <c r="D2592" s="453"/>
      <c r="E2592" s="453"/>
    </row>
    <row r="2593" spans="3:5" ht="15">
      <c r="C2593" s="453"/>
      <c r="D2593" s="453"/>
      <c r="E2593" s="453"/>
    </row>
    <row r="2594" spans="3:5" ht="15">
      <c r="C2594" s="453"/>
      <c r="D2594" s="453"/>
      <c r="E2594" s="453"/>
    </row>
    <row r="2595" spans="3:5" ht="15">
      <c r="C2595" s="453"/>
      <c r="D2595" s="453"/>
      <c r="E2595" s="453"/>
    </row>
    <row r="2596" spans="3:5" ht="15">
      <c r="C2596" s="453"/>
      <c r="D2596" s="453"/>
      <c r="E2596" s="453"/>
    </row>
    <row r="2597" spans="3:5" ht="15">
      <c r="C2597" s="453"/>
      <c r="D2597" s="453"/>
      <c r="E2597" s="453"/>
    </row>
    <row r="2598" spans="3:5" ht="15">
      <c r="C2598" s="453"/>
      <c r="D2598" s="453"/>
      <c r="E2598" s="453"/>
    </row>
    <row r="2599" spans="3:5" ht="15">
      <c r="C2599" s="453"/>
      <c r="D2599" s="453"/>
      <c r="E2599" s="453"/>
    </row>
    <row r="2600" spans="3:5" ht="15">
      <c r="C2600" s="453"/>
      <c r="D2600" s="453"/>
      <c r="E2600" s="453"/>
    </row>
    <row r="2601" spans="3:5" ht="15">
      <c r="C2601" s="453"/>
      <c r="D2601" s="453"/>
      <c r="E2601" s="453"/>
    </row>
    <row r="2602" spans="3:5" ht="15">
      <c r="C2602" s="453"/>
      <c r="D2602" s="453"/>
      <c r="E2602" s="453"/>
    </row>
    <row r="2603" spans="3:5" ht="15">
      <c r="C2603" s="453"/>
      <c r="D2603" s="453"/>
      <c r="E2603" s="453"/>
    </row>
    <row r="2604" spans="3:5" ht="15">
      <c r="C2604" s="453"/>
      <c r="D2604" s="453"/>
      <c r="E2604" s="453"/>
    </row>
    <row r="2605" spans="3:5" ht="15">
      <c r="C2605" s="453"/>
      <c r="D2605" s="453"/>
      <c r="E2605" s="453"/>
    </row>
    <row r="2606" spans="3:5" ht="15">
      <c r="C2606" s="453"/>
      <c r="D2606" s="453"/>
      <c r="E2606" s="453"/>
    </row>
    <row r="2607" spans="3:5" ht="15">
      <c r="C2607" s="453"/>
      <c r="D2607" s="453"/>
      <c r="E2607" s="453"/>
    </row>
    <row r="2608" spans="3:5" ht="15">
      <c r="C2608" s="453"/>
      <c r="D2608" s="453"/>
      <c r="E2608" s="453"/>
    </row>
    <row r="2609" spans="3:5" ht="15">
      <c r="C2609" s="453"/>
      <c r="D2609" s="453"/>
      <c r="E2609" s="453"/>
    </row>
    <row r="2610" spans="3:5" ht="15">
      <c r="C2610" s="453"/>
      <c r="D2610" s="453"/>
      <c r="E2610" s="453"/>
    </row>
    <row r="2611" spans="3:5" ht="15">
      <c r="C2611" s="453"/>
      <c r="D2611" s="453"/>
      <c r="E2611" s="453"/>
    </row>
    <row r="2612" spans="3:5" ht="15">
      <c r="C2612" s="453"/>
      <c r="D2612" s="453"/>
      <c r="E2612" s="453"/>
    </row>
    <row r="2613" spans="3:5" ht="15">
      <c r="C2613" s="453"/>
      <c r="D2613" s="453"/>
      <c r="E2613" s="453"/>
    </row>
    <row r="2614" spans="3:5" ht="15">
      <c r="C2614" s="453"/>
      <c r="D2614" s="453"/>
      <c r="E2614" s="453"/>
    </row>
    <row r="2615" spans="3:5" ht="15">
      <c r="C2615" s="453"/>
      <c r="D2615" s="453"/>
      <c r="E2615" s="453"/>
    </row>
    <row r="2616" spans="3:5" ht="15">
      <c r="C2616" s="453"/>
      <c r="D2616" s="453"/>
      <c r="E2616" s="453"/>
    </row>
    <row r="2617" spans="3:5" ht="15">
      <c r="C2617" s="453"/>
      <c r="D2617" s="453"/>
      <c r="E2617" s="453"/>
    </row>
    <row r="2618" spans="3:5" ht="15">
      <c r="C2618" s="453"/>
      <c r="D2618" s="453"/>
      <c r="E2618" s="453"/>
    </row>
    <row r="2619" spans="3:5" ht="15">
      <c r="C2619" s="453"/>
      <c r="D2619" s="453"/>
      <c r="E2619" s="453"/>
    </row>
    <row r="2620" spans="3:5" ht="15">
      <c r="C2620" s="453"/>
      <c r="D2620" s="453"/>
      <c r="E2620" s="453"/>
    </row>
    <row r="2621" spans="3:5" ht="15">
      <c r="C2621" s="453"/>
      <c r="D2621" s="453"/>
      <c r="E2621" s="453"/>
    </row>
    <row r="2622" spans="3:5" ht="15">
      <c r="C2622" s="453"/>
      <c r="D2622" s="453"/>
      <c r="E2622" s="453"/>
    </row>
    <row r="2623" spans="3:5" ht="15">
      <c r="C2623" s="453"/>
      <c r="D2623" s="453"/>
      <c r="E2623" s="453"/>
    </row>
    <row r="2624" spans="3:5" ht="15">
      <c r="C2624" s="453"/>
      <c r="D2624" s="453"/>
      <c r="E2624" s="453"/>
    </row>
    <row r="2625" spans="3:5" ht="15">
      <c r="C2625" s="453"/>
      <c r="D2625" s="453"/>
      <c r="E2625" s="453"/>
    </row>
    <row r="2626" spans="3:5" ht="15">
      <c r="C2626" s="453"/>
      <c r="D2626" s="453"/>
      <c r="E2626" s="453"/>
    </row>
    <row r="2627" spans="3:5" ht="15">
      <c r="C2627" s="453"/>
      <c r="D2627" s="453"/>
      <c r="E2627" s="453"/>
    </row>
    <row r="2628" spans="3:5" ht="15">
      <c r="C2628" s="453"/>
      <c r="D2628" s="453"/>
      <c r="E2628" s="453"/>
    </row>
    <row r="2629" spans="3:5" ht="15">
      <c r="C2629" s="453"/>
      <c r="D2629" s="453"/>
      <c r="E2629" s="453"/>
    </row>
    <row r="2630" spans="3:5" ht="15">
      <c r="C2630" s="453"/>
      <c r="D2630" s="453"/>
      <c r="E2630" s="453"/>
    </row>
    <row r="2631" spans="3:5" ht="15">
      <c r="C2631" s="453"/>
      <c r="D2631" s="453"/>
      <c r="E2631" s="453"/>
    </row>
    <row r="2632" spans="3:5" ht="15">
      <c r="C2632" s="453"/>
      <c r="D2632" s="453"/>
      <c r="E2632" s="453"/>
    </row>
    <row r="2633" spans="3:5" ht="15">
      <c r="C2633" s="453"/>
      <c r="D2633" s="453"/>
      <c r="E2633" s="453"/>
    </row>
    <row r="2634" spans="3:5" ht="15">
      <c r="C2634" s="453"/>
      <c r="D2634" s="453"/>
      <c r="E2634" s="453"/>
    </row>
    <row r="2635" spans="3:5" ht="15">
      <c r="C2635" s="453"/>
      <c r="D2635" s="453"/>
      <c r="E2635" s="453"/>
    </row>
    <row r="2636" spans="3:5" ht="15">
      <c r="C2636" s="453"/>
      <c r="D2636" s="453"/>
      <c r="E2636" s="453"/>
    </row>
    <row r="2637" spans="3:5" ht="15">
      <c r="C2637" s="453"/>
      <c r="D2637" s="453"/>
      <c r="E2637" s="453"/>
    </row>
    <row r="2638" spans="3:5" ht="15">
      <c r="C2638" s="453"/>
      <c r="D2638" s="453"/>
      <c r="E2638" s="453"/>
    </row>
    <row r="2639" spans="3:5" ht="15">
      <c r="C2639" s="453"/>
      <c r="D2639" s="453"/>
      <c r="E2639" s="453"/>
    </row>
    <row r="2640" spans="3:5" ht="15">
      <c r="C2640" s="453"/>
      <c r="D2640" s="453"/>
      <c r="E2640" s="453"/>
    </row>
    <row r="2641" spans="3:5" ht="15">
      <c r="C2641" s="453"/>
      <c r="D2641" s="453"/>
      <c r="E2641" s="453"/>
    </row>
    <row r="2642" spans="3:5" ht="15">
      <c r="C2642" s="453"/>
      <c r="D2642" s="453"/>
      <c r="E2642" s="453"/>
    </row>
    <row r="2643" spans="3:5" ht="15">
      <c r="C2643" s="453"/>
      <c r="D2643" s="453"/>
      <c r="E2643" s="453"/>
    </row>
    <row r="2644" spans="3:5" ht="15">
      <c r="C2644" s="453"/>
      <c r="D2644" s="453"/>
      <c r="E2644" s="453"/>
    </row>
    <row r="2645" spans="3:5" ht="15">
      <c r="C2645" s="453"/>
      <c r="D2645" s="453"/>
      <c r="E2645" s="453"/>
    </row>
    <row r="2646" spans="3:5" ht="15">
      <c r="C2646" s="453"/>
      <c r="D2646" s="453"/>
      <c r="E2646" s="453"/>
    </row>
    <row r="2647" spans="3:5" ht="15">
      <c r="C2647" s="453"/>
      <c r="D2647" s="453"/>
      <c r="E2647" s="453"/>
    </row>
    <row r="2648" spans="3:5" ht="15">
      <c r="C2648" s="453"/>
      <c r="D2648" s="453"/>
      <c r="E2648" s="453"/>
    </row>
    <row r="2649" spans="3:5" ht="15">
      <c r="C2649" s="453"/>
      <c r="D2649" s="453"/>
      <c r="E2649" s="453"/>
    </row>
    <row r="2650" spans="3:5" ht="15">
      <c r="C2650" s="453"/>
      <c r="D2650" s="453"/>
      <c r="E2650" s="453"/>
    </row>
    <row r="2651" spans="3:5" ht="15">
      <c r="C2651" s="453"/>
      <c r="D2651" s="453"/>
      <c r="E2651" s="453"/>
    </row>
    <row r="2652" spans="3:5" ht="15">
      <c r="C2652" s="453"/>
      <c r="D2652" s="453"/>
      <c r="E2652" s="453"/>
    </row>
    <row r="2653" spans="3:5" ht="15">
      <c r="C2653" s="453"/>
      <c r="D2653" s="453"/>
      <c r="E2653" s="453"/>
    </row>
    <row r="2654" spans="3:5" ht="15">
      <c r="C2654" s="453"/>
      <c r="D2654" s="453"/>
      <c r="E2654" s="453"/>
    </row>
    <row r="2655" spans="3:5" ht="15">
      <c r="C2655" s="453"/>
      <c r="D2655" s="453"/>
      <c r="E2655" s="453"/>
    </row>
    <row r="2656" spans="3:5" ht="15">
      <c r="C2656" s="453"/>
      <c r="D2656" s="453"/>
      <c r="E2656" s="453"/>
    </row>
    <row r="2657" spans="3:5" ht="15">
      <c r="C2657" s="453"/>
      <c r="D2657" s="453"/>
      <c r="E2657" s="453"/>
    </row>
    <row r="2658" spans="3:5" ht="15">
      <c r="C2658" s="453"/>
      <c r="D2658" s="453"/>
      <c r="E2658" s="453"/>
    </row>
    <row r="2659" spans="3:5" ht="15">
      <c r="C2659" s="453"/>
      <c r="D2659" s="453"/>
      <c r="E2659" s="453"/>
    </row>
    <row r="2660" spans="3:5" ht="15">
      <c r="C2660" s="453"/>
      <c r="D2660" s="453"/>
      <c r="E2660" s="453"/>
    </row>
    <row r="2661" spans="3:5" ht="15">
      <c r="C2661" s="453"/>
      <c r="D2661" s="453"/>
      <c r="E2661" s="453"/>
    </row>
    <row r="2662" spans="3:5" ht="15">
      <c r="C2662" s="453"/>
      <c r="D2662" s="453"/>
      <c r="E2662" s="453"/>
    </row>
    <row r="2663" spans="3:5" ht="15">
      <c r="C2663" s="453"/>
      <c r="D2663" s="453"/>
      <c r="E2663" s="453"/>
    </row>
    <row r="2664" spans="3:5" ht="15">
      <c r="C2664" s="453"/>
      <c r="D2664" s="453"/>
      <c r="E2664" s="453"/>
    </row>
    <row r="2665" spans="3:5" ht="15">
      <c r="C2665" s="453"/>
      <c r="D2665" s="453"/>
      <c r="E2665" s="453"/>
    </row>
    <row r="2666" spans="3:5" ht="15">
      <c r="C2666" s="453"/>
      <c r="D2666" s="453"/>
      <c r="E2666" s="453"/>
    </row>
    <row r="2667" spans="3:5" ht="15">
      <c r="C2667" s="453"/>
      <c r="D2667" s="453"/>
      <c r="E2667" s="453"/>
    </row>
    <row r="2668" spans="3:5" ht="15">
      <c r="C2668" s="453"/>
      <c r="D2668" s="453"/>
      <c r="E2668" s="453"/>
    </row>
    <row r="2669" spans="3:5" ht="15">
      <c r="C2669" s="453"/>
      <c r="D2669" s="453"/>
      <c r="E2669" s="453"/>
    </row>
    <row r="2670" spans="3:5" ht="15">
      <c r="C2670" s="453"/>
      <c r="D2670" s="453"/>
      <c r="E2670" s="453"/>
    </row>
    <row r="2671" spans="3:5" ht="15">
      <c r="C2671" s="453"/>
      <c r="D2671" s="453"/>
      <c r="E2671" s="453"/>
    </row>
    <row r="2672" spans="3:5" ht="15">
      <c r="C2672" s="453"/>
      <c r="D2672" s="453"/>
      <c r="E2672" s="453"/>
    </row>
    <row r="2673" spans="3:5" ht="15">
      <c r="C2673" s="453"/>
      <c r="D2673" s="453"/>
      <c r="E2673" s="453"/>
    </row>
    <row r="2674" spans="3:5" ht="15">
      <c r="C2674" s="453"/>
      <c r="D2674" s="453"/>
      <c r="E2674" s="453"/>
    </row>
    <row r="2675" spans="3:5" ht="15">
      <c r="C2675" s="453"/>
      <c r="D2675" s="453"/>
      <c r="E2675" s="453"/>
    </row>
    <row r="2676" spans="3:5" ht="15">
      <c r="C2676" s="453"/>
      <c r="D2676" s="453"/>
      <c r="E2676" s="453"/>
    </row>
    <row r="2677" spans="3:5" ht="15">
      <c r="C2677" s="453"/>
      <c r="D2677" s="453"/>
      <c r="E2677" s="453"/>
    </row>
    <row r="2678" spans="3:5" ht="15">
      <c r="C2678" s="453"/>
      <c r="D2678" s="453"/>
      <c r="E2678" s="453"/>
    </row>
    <row r="2679" spans="3:5" ht="15">
      <c r="C2679" s="453"/>
      <c r="D2679" s="453"/>
      <c r="E2679" s="453"/>
    </row>
    <row r="2680" spans="3:5" ht="15">
      <c r="C2680" s="453"/>
      <c r="D2680" s="453"/>
      <c r="E2680" s="453"/>
    </row>
    <row r="2681" spans="3:5" ht="15">
      <c r="C2681" s="453"/>
      <c r="D2681" s="453"/>
      <c r="E2681" s="453"/>
    </row>
    <row r="2682" spans="3:5" ht="15">
      <c r="C2682" s="453"/>
      <c r="D2682" s="453"/>
      <c r="E2682" s="453"/>
    </row>
    <row r="2683" spans="3:5" ht="15">
      <c r="C2683" s="453"/>
      <c r="D2683" s="453"/>
      <c r="E2683" s="453"/>
    </row>
    <row r="2684" spans="3:5" ht="15">
      <c r="C2684" s="453"/>
      <c r="D2684" s="453"/>
      <c r="E2684" s="453"/>
    </row>
    <row r="2685" spans="3:5" ht="15">
      <c r="C2685" s="453"/>
      <c r="D2685" s="453"/>
      <c r="E2685" s="453"/>
    </row>
    <row r="2686" spans="3:5" ht="15">
      <c r="C2686" s="453"/>
      <c r="D2686" s="453"/>
      <c r="E2686" s="453"/>
    </row>
    <row r="2687" spans="3:5" ht="15">
      <c r="C2687" s="453"/>
      <c r="D2687" s="453"/>
      <c r="E2687" s="453"/>
    </row>
    <row r="2688" spans="3:5" ht="15">
      <c r="C2688" s="453"/>
      <c r="D2688" s="453"/>
      <c r="E2688" s="453"/>
    </row>
    <row r="2689" spans="3:5" ht="15">
      <c r="C2689" s="453"/>
      <c r="D2689" s="453"/>
      <c r="E2689" s="453"/>
    </row>
    <row r="2690" spans="3:5" ht="15">
      <c r="C2690" s="453"/>
      <c r="D2690" s="453"/>
      <c r="E2690" s="453"/>
    </row>
    <row r="2691" spans="3:5" ht="15">
      <c r="C2691" s="453"/>
      <c r="D2691" s="453"/>
      <c r="E2691" s="453"/>
    </row>
    <row r="2692" spans="3:5" ht="15">
      <c r="C2692" s="453"/>
      <c r="D2692" s="453"/>
      <c r="E2692" s="453"/>
    </row>
    <row r="2693" spans="3:5" ht="15">
      <c r="C2693" s="453"/>
      <c r="D2693" s="453"/>
      <c r="E2693" s="453"/>
    </row>
    <row r="2694" spans="3:5" ht="15">
      <c r="C2694" s="453"/>
      <c r="D2694" s="453"/>
      <c r="E2694" s="453"/>
    </row>
    <row r="2695" spans="3:5" ht="15">
      <c r="C2695" s="453"/>
      <c r="D2695" s="453"/>
      <c r="E2695" s="453"/>
    </row>
    <row r="2696" spans="3:5" ht="15">
      <c r="C2696" s="453"/>
      <c r="D2696" s="453"/>
      <c r="E2696" s="453"/>
    </row>
    <row r="2697" spans="3:5" ht="15">
      <c r="C2697" s="453"/>
      <c r="D2697" s="453"/>
      <c r="E2697" s="453"/>
    </row>
    <row r="2698" spans="3:5" ht="15">
      <c r="C2698" s="453"/>
      <c r="D2698" s="453"/>
      <c r="E2698" s="453"/>
    </row>
    <row r="2699" spans="3:5" ht="15">
      <c r="C2699" s="453"/>
      <c r="D2699" s="453"/>
      <c r="E2699" s="453"/>
    </row>
    <row r="2700" spans="3:5" ht="15">
      <c r="C2700" s="453"/>
      <c r="D2700" s="453"/>
      <c r="E2700" s="453"/>
    </row>
    <row r="2701" spans="3:5" ht="15">
      <c r="C2701" s="453"/>
      <c r="D2701" s="453"/>
      <c r="E2701" s="453"/>
    </row>
    <row r="2702" spans="3:5" ht="15">
      <c r="C2702" s="453"/>
      <c r="D2702" s="453"/>
      <c r="E2702" s="453"/>
    </row>
    <row r="2703" spans="3:5" ht="15">
      <c r="C2703" s="453"/>
      <c r="D2703" s="453"/>
      <c r="E2703" s="453"/>
    </row>
    <row r="2704" spans="3:5" ht="15">
      <c r="C2704" s="453"/>
      <c r="D2704" s="453"/>
      <c r="E2704" s="453"/>
    </row>
    <row r="2705" spans="3:5" ht="15">
      <c r="C2705" s="453"/>
      <c r="D2705" s="453"/>
      <c r="E2705" s="453"/>
    </row>
    <row r="2706" spans="3:5" ht="15">
      <c r="C2706" s="453"/>
      <c r="D2706" s="453"/>
      <c r="E2706" s="453"/>
    </row>
    <row r="2707" spans="3:5" ht="15">
      <c r="C2707" s="453"/>
      <c r="D2707" s="453"/>
      <c r="E2707" s="453"/>
    </row>
    <row r="2708" spans="3:5" ht="15">
      <c r="C2708" s="453"/>
      <c r="D2708" s="453"/>
      <c r="E2708" s="453"/>
    </row>
    <row r="2709" spans="3:5" ht="15">
      <c r="C2709" s="453"/>
      <c r="D2709" s="453"/>
      <c r="E2709" s="453"/>
    </row>
    <row r="2710" spans="3:5" ht="15">
      <c r="C2710" s="453"/>
      <c r="D2710" s="453"/>
      <c r="E2710" s="453"/>
    </row>
    <row r="2711" spans="3:5" ht="15">
      <c r="C2711" s="453"/>
      <c r="D2711" s="453"/>
      <c r="E2711" s="453"/>
    </row>
    <row r="2712" spans="3:5" ht="15">
      <c r="C2712" s="453"/>
      <c r="D2712" s="453"/>
      <c r="E2712" s="453"/>
    </row>
    <row r="2713" spans="3:5" ht="15">
      <c r="C2713" s="453"/>
      <c r="D2713" s="453"/>
      <c r="E2713" s="453"/>
    </row>
    <row r="2714" spans="3:5" ht="15">
      <c r="C2714" s="453"/>
      <c r="D2714" s="453"/>
      <c r="E2714" s="453"/>
    </row>
    <row r="2715" spans="3:5" ht="15">
      <c r="C2715" s="453"/>
      <c r="D2715" s="453"/>
      <c r="E2715" s="453"/>
    </row>
    <row r="2716" spans="3:5" ht="15">
      <c r="C2716" s="453"/>
      <c r="D2716" s="453"/>
      <c r="E2716" s="453"/>
    </row>
    <row r="2717" spans="3:5" ht="15">
      <c r="C2717" s="453"/>
      <c r="D2717" s="453"/>
      <c r="E2717" s="453"/>
    </row>
    <row r="2718" spans="3:5" ht="15">
      <c r="C2718" s="453"/>
      <c r="D2718" s="453"/>
      <c r="E2718" s="453"/>
    </row>
    <row r="2719" spans="3:5" ht="15">
      <c r="C2719" s="453"/>
      <c r="D2719" s="453"/>
      <c r="E2719" s="453"/>
    </row>
    <row r="2720" spans="3:5" ht="15">
      <c r="C2720" s="453"/>
      <c r="D2720" s="453"/>
      <c r="E2720" s="453"/>
    </row>
    <row r="2721" spans="3:5" ht="15">
      <c r="C2721" s="453"/>
      <c r="D2721" s="453"/>
      <c r="E2721" s="453"/>
    </row>
    <row r="2722" spans="3:5" ht="15">
      <c r="C2722" s="453"/>
      <c r="D2722" s="453"/>
      <c r="E2722" s="453"/>
    </row>
    <row r="2723" spans="3:5" ht="15">
      <c r="C2723" s="453"/>
      <c r="D2723" s="453"/>
      <c r="E2723" s="453"/>
    </row>
    <row r="2724" spans="3:5" ht="15">
      <c r="C2724" s="453"/>
      <c r="D2724" s="453"/>
      <c r="E2724" s="453"/>
    </row>
    <row r="2725" spans="3:5" ht="15">
      <c r="C2725" s="453"/>
      <c r="D2725" s="453"/>
      <c r="E2725" s="453"/>
    </row>
    <row r="2726" spans="3:5" ht="15">
      <c r="C2726" s="453"/>
      <c r="D2726" s="453"/>
      <c r="E2726" s="453"/>
    </row>
    <row r="2727" spans="3:5" ht="15">
      <c r="C2727" s="453"/>
      <c r="D2727" s="453"/>
      <c r="E2727" s="453"/>
    </row>
    <row r="2728" spans="3:5" ht="15">
      <c r="C2728" s="453"/>
      <c r="D2728" s="453"/>
      <c r="E2728" s="453"/>
    </row>
    <row r="2729" spans="3:5" ht="15">
      <c r="C2729" s="453"/>
      <c r="D2729" s="453"/>
      <c r="E2729" s="453"/>
    </row>
    <row r="2730" spans="3:5" ht="15">
      <c r="C2730" s="453"/>
      <c r="D2730" s="453"/>
      <c r="E2730" s="453"/>
    </row>
    <row r="2731" spans="3:5" ht="15">
      <c r="C2731" s="453"/>
      <c r="D2731" s="453"/>
      <c r="E2731" s="453"/>
    </row>
    <row r="2732" spans="3:5" ht="15">
      <c r="C2732" s="453"/>
      <c r="D2732" s="453"/>
      <c r="E2732" s="453"/>
    </row>
    <row r="2733" spans="3:5" ht="15">
      <c r="C2733" s="453"/>
      <c r="D2733" s="453"/>
      <c r="E2733" s="453"/>
    </row>
    <row r="2734" spans="3:5" ht="15">
      <c r="C2734" s="453"/>
      <c r="D2734" s="453"/>
      <c r="E2734" s="453"/>
    </row>
    <row r="2735" spans="3:5" ht="15">
      <c r="C2735" s="453"/>
      <c r="D2735" s="453"/>
      <c r="E2735" s="453"/>
    </row>
    <row r="2736" spans="3:5" ht="15">
      <c r="C2736" s="453"/>
      <c r="D2736" s="453"/>
      <c r="E2736" s="453"/>
    </row>
    <row r="2737" spans="3:5" ht="15">
      <c r="C2737" s="453"/>
      <c r="D2737" s="453"/>
      <c r="E2737" s="453"/>
    </row>
    <row r="2738" spans="3:5" ht="15">
      <c r="C2738" s="453"/>
      <c r="D2738" s="453"/>
      <c r="E2738" s="453"/>
    </row>
    <row r="2739" spans="3:5" ht="15">
      <c r="C2739" s="453"/>
      <c r="D2739" s="453"/>
      <c r="E2739" s="453"/>
    </row>
    <row r="2740" spans="3:5" ht="15">
      <c r="C2740" s="453"/>
      <c r="D2740" s="453"/>
      <c r="E2740" s="453"/>
    </row>
    <row r="2741" spans="3:5" ht="15">
      <c r="C2741" s="453"/>
      <c r="D2741" s="453"/>
      <c r="E2741" s="453"/>
    </row>
    <row r="2742" spans="3:5" ht="15">
      <c r="C2742" s="453"/>
      <c r="D2742" s="453"/>
      <c r="E2742" s="453"/>
    </row>
    <row r="2743" spans="3:5" ht="15">
      <c r="C2743" s="453"/>
      <c r="D2743" s="453"/>
      <c r="E2743" s="453"/>
    </row>
    <row r="2744" spans="3:5" ht="15">
      <c r="C2744" s="453"/>
      <c r="D2744" s="453"/>
      <c r="E2744" s="453"/>
    </row>
    <row r="2745" spans="3:5" ht="15">
      <c r="C2745" s="453"/>
      <c r="D2745" s="453"/>
      <c r="E2745" s="453"/>
    </row>
    <row r="2746" spans="3:5" ht="15">
      <c r="C2746" s="453"/>
      <c r="D2746" s="453"/>
      <c r="E2746" s="453"/>
    </row>
    <row r="2747" spans="3:5" ht="15">
      <c r="C2747" s="453"/>
      <c r="D2747" s="453"/>
      <c r="E2747" s="453"/>
    </row>
    <row r="2748" spans="3:5" ht="15">
      <c r="C2748" s="453"/>
      <c r="D2748" s="453"/>
      <c r="E2748" s="453"/>
    </row>
    <row r="2749" spans="3:5" ht="15">
      <c r="C2749" s="453"/>
      <c r="D2749" s="453"/>
      <c r="E2749" s="453"/>
    </row>
    <row r="2750" spans="3:5" ht="15">
      <c r="C2750" s="453"/>
      <c r="D2750" s="453"/>
      <c r="E2750" s="453"/>
    </row>
    <row r="2751" spans="3:5" ht="15">
      <c r="C2751" s="453"/>
      <c r="D2751" s="453"/>
      <c r="E2751" s="453"/>
    </row>
    <row r="2752" spans="3:5" ht="15">
      <c r="C2752" s="453"/>
      <c r="D2752" s="453"/>
      <c r="E2752" s="453"/>
    </row>
    <row r="2753" spans="3:5" ht="15">
      <c r="C2753" s="453"/>
      <c r="D2753" s="453"/>
      <c r="E2753" s="453"/>
    </row>
    <row r="2754" spans="3:5" ht="15">
      <c r="C2754" s="453"/>
      <c r="D2754" s="453"/>
      <c r="E2754" s="453"/>
    </row>
    <row r="2755" spans="3:5" ht="15">
      <c r="C2755" s="453"/>
      <c r="D2755" s="453"/>
      <c r="E2755" s="453"/>
    </row>
    <row r="2756" spans="3:5" ht="15">
      <c r="C2756" s="453"/>
      <c r="D2756" s="453"/>
      <c r="E2756" s="453"/>
    </row>
    <row r="2757" spans="3:5" ht="15">
      <c r="C2757" s="453"/>
      <c r="D2757" s="453"/>
      <c r="E2757" s="453"/>
    </row>
    <row r="2758" spans="3:5" ht="15">
      <c r="C2758" s="453"/>
      <c r="D2758" s="453"/>
      <c r="E2758" s="453"/>
    </row>
    <row r="2759" spans="3:5" ht="15">
      <c r="C2759" s="453"/>
      <c r="D2759" s="453"/>
      <c r="E2759" s="453"/>
    </row>
    <row r="2760" spans="3:5" ht="15">
      <c r="C2760" s="453"/>
      <c r="D2760" s="453"/>
      <c r="E2760" s="453"/>
    </row>
    <row r="2761" spans="3:5" ht="15">
      <c r="C2761" s="453"/>
      <c r="D2761" s="453"/>
      <c r="E2761" s="453"/>
    </row>
    <row r="2762" spans="3:5" ht="15">
      <c r="C2762" s="453"/>
      <c r="D2762" s="453"/>
      <c r="E2762" s="453"/>
    </row>
    <row r="2763" spans="3:5" ht="15">
      <c r="C2763" s="453"/>
      <c r="D2763" s="453"/>
      <c r="E2763" s="453"/>
    </row>
    <row r="2764" spans="3:5" ht="15">
      <c r="C2764" s="453"/>
      <c r="D2764" s="453"/>
      <c r="E2764" s="453"/>
    </row>
    <row r="2765" spans="3:5" ht="15">
      <c r="C2765" s="453"/>
      <c r="D2765" s="453"/>
      <c r="E2765" s="453"/>
    </row>
    <row r="2766" spans="3:5" ht="15">
      <c r="C2766" s="453"/>
      <c r="D2766" s="453"/>
      <c r="E2766" s="453"/>
    </row>
    <row r="2767" spans="3:5" ht="15">
      <c r="C2767" s="453"/>
      <c r="D2767" s="453"/>
      <c r="E2767" s="453"/>
    </row>
    <row r="2768" spans="3:5" ht="15">
      <c r="C2768" s="453"/>
      <c r="D2768" s="453"/>
      <c r="E2768" s="453"/>
    </row>
    <row r="2769" spans="3:5" ht="15">
      <c r="C2769" s="453"/>
      <c r="D2769" s="453"/>
      <c r="E2769" s="453"/>
    </row>
    <row r="2770" spans="3:5" ht="15">
      <c r="C2770" s="453"/>
      <c r="D2770" s="453"/>
      <c r="E2770" s="453"/>
    </row>
    <row r="2771" spans="3:5" ht="15">
      <c r="C2771" s="453"/>
      <c r="D2771" s="453"/>
      <c r="E2771" s="453"/>
    </row>
    <row r="2772" spans="3:5" ht="15">
      <c r="C2772" s="453"/>
      <c r="D2772" s="453"/>
      <c r="E2772" s="453"/>
    </row>
    <row r="2773" spans="3:5" ht="15">
      <c r="C2773" s="453"/>
      <c r="D2773" s="453"/>
      <c r="E2773" s="453"/>
    </row>
    <row r="2774" spans="3:5" ht="15">
      <c r="C2774" s="453"/>
      <c r="D2774" s="453"/>
      <c r="E2774" s="453"/>
    </row>
    <row r="2775" spans="3:5" ht="15">
      <c r="C2775" s="453"/>
      <c r="D2775" s="453"/>
      <c r="E2775" s="453"/>
    </row>
    <row r="2776" spans="3:5" ht="15">
      <c r="C2776" s="453"/>
      <c r="D2776" s="453"/>
      <c r="E2776" s="453"/>
    </row>
    <row r="2777" spans="3:5" ht="15">
      <c r="C2777" s="453"/>
      <c r="D2777" s="453"/>
      <c r="E2777" s="453"/>
    </row>
    <row r="2778" spans="3:5" ht="15">
      <c r="C2778" s="453"/>
      <c r="D2778" s="453"/>
      <c r="E2778" s="453"/>
    </row>
    <row r="2779" spans="3:5" ht="15">
      <c r="C2779" s="453"/>
      <c r="D2779" s="453"/>
      <c r="E2779" s="453"/>
    </row>
    <row r="2780" spans="3:5" ht="15">
      <c r="C2780" s="453"/>
      <c r="D2780" s="453"/>
      <c r="E2780" s="453"/>
    </row>
    <row r="2781" spans="3:5" ht="15">
      <c r="C2781" s="453"/>
      <c r="D2781" s="453"/>
      <c r="E2781" s="453"/>
    </row>
    <row r="2782" spans="3:5" ht="15">
      <c r="C2782" s="453"/>
      <c r="D2782" s="453"/>
      <c r="E2782" s="453"/>
    </row>
    <row r="2783" spans="3:5" ht="15">
      <c r="C2783" s="453"/>
      <c r="D2783" s="453"/>
      <c r="E2783" s="453"/>
    </row>
    <row r="2784" spans="3:5" ht="15">
      <c r="C2784" s="453"/>
      <c r="D2784" s="453"/>
      <c r="E2784" s="453"/>
    </row>
    <row r="2785" spans="3:5" ht="15">
      <c r="C2785" s="453"/>
      <c r="D2785" s="453"/>
      <c r="E2785" s="453"/>
    </row>
    <row r="2786" spans="3:5" ht="15">
      <c r="C2786" s="453"/>
      <c r="D2786" s="453"/>
      <c r="E2786" s="453"/>
    </row>
    <row r="2787" spans="3:5" ht="15">
      <c r="C2787" s="453"/>
      <c r="D2787" s="453"/>
      <c r="E2787" s="453"/>
    </row>
    <row r="2788" spans="3:5" ht="15">
      <c r="C2788" s="453"/>
      <c r="D2788" s="453"/>
      <c r="E2788" s="453"/>
    </row>
    <row r="2789" spans="3:5" ht="15">
      <c r="C2789" s="453"/>
      <c r="D2789" s="453"/>
      <c r="E2789" s="453"/>
    </row>
    <row r="2790" spans="3:5" ht="15">
      <c r="C2790" s="453"/>
      <c r="D2790" s="453"/>
      <c r="E2790" s="453"/>
    </row>
    <row r="2791" spans="3:5" ht="15">
      <c r="C2791" s="453"/>
      <c r="D2791" s="453"/>
      <c r="E2791" s="453"/>
    </row>
    <row r="2792" spans="3:5" ht="15">
      <c r="C2792" s="453"/>
      <c r="D2792" s="453"/>
      <c r="E2792" s="453"/>
    </row>
    <row r="2793" spans="3:5" ht="15">
      <c r="C2793" s="453"/>
      <c r="D2793" s="453"/>
      <c r="E2793" s="453"/>
    </row>
    <row r="2794" spans="3:5" ht="15">
      <c r="C2794" s="453"/>
      <c r="D2794" s="453"/>
      <c r="E2794" s="453"/>
    </row>
    <row r="2795" spans="3:5" ht="15">
      <c r="C2795" s="453"/>
      <c r="D2795" s="453"/>
      <c r="E2795" s="453"/>
    </row>
    <row r="2796" spans="3:5" ht="15">
      <c r="C2796" s="453"/>
      <c r="D2796" s="453"/>
      <c r="E2796" s="453"/>
    </row>
    <row r="2797" spans="3:5" ht="15">
      <c r="C2797" s="453"/>
      <c r="D2797" s="453"/>
      <c r="E2797" s="453"/>
    </row>
    <row r="2798" spans="3:5" ht="15">
      <c r="C2798" s="453"/>
      <c r="D2798" s="453"/>
      <c r="E2798" s="453"/>
    </row>
    <row r="2799" spans="3:5" ht="15">
      <c r="C2799" s="453"/>
      <c r="D2799" s="453"/>
      <c r="E2799" s="453"/>
    </row>
    <row r="2800" spans="3:5" ht="15">
      <c r="C2800" s="453"/>
      <c r="D2800" s="453"/>
      <c r="E2800" s="453"/>
    </row>
    <row r="2801" spans="3:5" ht="15">
      <c r="C2801" s="453"/>
      <c r="D2801" s="453"/>
      <c r="E2801" s="453"/>
    </row>
    <row r="2802" spans="3:5" ht="15">
      <c r="C2802" s="453"/>
      <c r="D2802" s="453"/>
      <c r="E2802" s="453"/>
    </row>
    <row r="2803" spans="3:5" ht="15">
      <c r="C2803" s="453"/>
      <c r="D2803" s="453"/>
      <c r="E2803" s="453"/>
    </row>
    <row r="2804" spans="3:5" ht="15">
      <c r="C2804" s="453"/>
      <c r="D2804" s="453"/>
      <c r="E2804" s="453"/>
    </row>
    <row r="2805" spans="3:5" ht="15">
      <c r="C2805" s="453"/>
      <c r="D2805" s="453"/>
      <c r="E2805" s="453"/>
    </row>
    <row r="2806" spans="3:5" ht="15">
      <c r="C2806" s="453"/>
      <c r="D2806" s="453"/>
      <c r="E2806" s="453"/>
    </row>
    <row r="2807" spans="3:5" ht="15">
      <c r="C2807" s="453"/>
      <c r="D2807" s="453"/>
      <c r="E2807" s="453"/>
    </row>
    <row r="2808" spans="3:5" ht="15">
      <c r="C2808" s="453"/>
      <c r="D2808" s="453"/>
      <c r="E2808" s="453"/>
    </row>
    <row r="2809" spans="3:5" ht="15">
      <c r="C2809" s="453"/>
      <c r="D2809" s="453"/>
      <c r="E2809" s="453"/>
    </row>
    <row r="2810" spans="3:5" ht="15">
      <c r="C2810" s="453"/>
      <c r="D2810" s="453"/>
      <c r="E2810" s="453"/>
    </row>
    <row r="2811" spans="3:5" ht="15">
      <c r="C2811" s="453"/>
      <c r="D2811" s="453"/>
      <c r="E2811" s="453"/>
    </row>
    <row r="2812" spans="3:5" ht="15">
      <c r="C2812" s="453"/>
      <c r="D2812" s="453"/>
      <c r="E2812" s="453"/>
    </row>
    <row r="2813" spans="3:5" ht="15">
      <c r="C2813" s="453"/>
      <c r="D2813" s="453"/>
      <c r="E2813" s="453"/>
    </row>
    <row r="2814" spans="3:5" ht="15">
      <c r="C2814" s="453"/>
      <c r="D2814" s="453"/>
      <c r="E2814" s="453"/>
    </row>
    <row r="2815" spans="3:5" ht="15">
      <c r="C2815" s="453"/>
      <c r="D2815" s="453"/>
      <c r="E2815" s="453"/>
    </row>
    <row r="2816" spans="3:5" ht="15">
      <c r="C2816" s="453"/>
      <c r="D2816" s="453"/>
      <c r="E2816" s="453"/>
    </row>
    <row r="2817" spans="3:5" ht="15">
      <c r="C2817" s="453"/>
      <c r="D2817" s="453"/>
      <c r="E2817" s="453"/>
    </row>
    <row r="2818" spans="3:5" ht="15">
      <c r="C2818" s="453"/>
      <c r="D2818" s="453"/>
      <c r="E2818" s="453"/>
    </row>
    <row r="2819" spans="3:5" ht="15">
      <c r="C2819" s="453"/>
      <c r="D2819" s="453"/>
      <c r="E2819" s="453"/>
    </row>
    <row r="2820" spans="3:5" ht="15">
      <c r="C2820" s="453"/>
      <c r="D2820" s="453"/>
      <c r="E2820" s="453"/>
    </row>
    <row r="2821" spans="3:5" ht="15">
      <c r="C2821" s="453"/>
      <c r="D2821" s="453"/>
      <c r="E2821" s="453"/>
    </row>
    <row r="2822" spans="3:5" ht="15">
      <c r="C2822" s="453"/>
      <c r="D2822" s="453"/>
      <c r="E2822" s="453"/>
    </row>
    <row r="2823" spans="3:5" ht="15">
      <c r="C2823" s="453"/>
      <c r="D2823" s="453"/>
      <c r="E2823" s="453"/>
    </row>
    <row r="2824" spans="3:5" ht="15">
      <c r="C2824" s="453"/>
      <c r="D2824" s="453"/>
      <c r="E2824" s="453"/>
    </row>
    <row r="2825" spans="3:5" ht="15">
      <c r="C2825" s="453"/>
      <c r="D2825" s="453"/>
      <c r="E2825" s="453"/>
    </row>
    <row r="2826" spans="3:5" ht="15">
      <c r="C2826" s="453"/>
      <c r="D2826" s="453"/>
      <c r="E2826" s="453"/>
    </row>
    <row r="2827" spans="3:5" ht="15">
      <c r="C2827" s="453"/>
      <c r="D2827" s="453"/>
      <c r="E2827" s="453"/>
    </row>
    <row r="2828" spans="3:5" ht="15">
      <c r="C2828" s="453"/>
      <c r="D2828" s="453"/>
      <c r="E2828" s="453"/>
    </row>
    <row r="2829" spans="3:5" ht="15">
      <c r="C2829" s="453"/>
      <c r="D2829" s="453"/>
      <c r="E2829" s="453"/>
    </row>
    <row r="2830" spans="3:5" ht="15">
      <c r="C2830" s="453"/>
      <c r="D2830" s="453"/>
      <c r="E2830" s="453"/>
    </row>
    <row r="2831" spans="3:5" ht="15">
      <c r="C2831" s="453"/>
      <c r="D2831" s="453"/>
      <c r="E2831" s="453"/>
    </row>
    <row r="2832" spans="3:5" ht="15">
      <c r="C2832" s="453"/>
      <c r="D2832" s="453"/>
      <c r="E2832" s="453"/>
    </row>
    <row r="2833" spans="3:5" ht="15">
      <c r="C2833" s="453"/>
      <c r="D2833" s="453"/>
      <c r="E2833" s="453"/>
    </row>
    <row r="2834" spans="3:5" ht="15">
      <c r="C2834" s="453"/>
      <c r="D2834" s="453"/>
      <c r="E2834" s="453"/>
    </row>
    <row r="2835" spans="3:5" ht="15">
      <c r="C2835" s="453"/>
      <c r="D2835" s="453"/>
      <c r="E2835" s="453"/>
    </row>
    <row r="2836" spans="3:5" ht="15">
      <c r="C2836" s="453"/>
      <c r="D2836" s="453"/>
      <c r="E2836" s="453"/>
    </row>
    <row r="2837" spans="3:5" ht="15">
      <c r="C2837" s="453"/>
      <c r="D2837" s="453"/>
      <c r="E2837" s="453"/>
    </row>
    <row r="2838" spans="3:5" ht="15">
      <c r="C2838" s="453"/>
      <c r="D2838" s="453"/>
      <c r="E2838" s="453"/>
    </row>
    <row r="2839" spans="3:5" ht="15">
      <c r="C2839" s="453"/>
      <c r="D2839" s="453"/>
      <c r="E2839" s="453"/>
    </row>
    <row r="2840" spans="3:5" ht="15">
      <c r="C2840" s="453"/>
      <c r="D2840" s="453"/>
      <c r="E2840" s="453"/>
    </row>
    <row r="2841" spans="3:5" ht="15">
      <c r="C2841" s="453"/>
      <c r="D2841" s="453"/>
      <c r="E2841" s="453"/>
    </row>
    <row r="2842" spans="3:5" ht="15">
      <c r="C2842" s="453"/>
      <c r="D2842" s="453"/>
      <c r="E2842" s="453"/>
    </row>
    <row r="2843" spans="3:5" ht="15">
      <c r="C2843" s="453"/>
      <c r="D2843" s="453"/>
      <c r="E2843" s="453"/>
    </row>
    <row r="2844" spans="3:5" ht="15">
      <c r="C2844" s="453"/>
      <c r="D2844" s="453"/>
      <c r="E2844" s="453"/>
    </row>
    <row r="2845" spans="3:5" ht="15">
      <c r="C2845" s="453"/>
      <c r="D2845" s="453"/>
      <c r="E2845" s="453"/>
    </row>
    <row r="2846" spans="3:5" ht="15">
      <c r="C2846" s="453"/>
      <c r="D2846" s="453"/>
      <c r="E2846" s="453"/>
    </row>
    <row r="2847" spans="3:5" ht="15">
      <c r="C2847" s="453"/>
      <c r="D2847" s="453"/>
      <c r="E2847" s="453"/>
    </row>
    <row r="2848" spans="3:5" ht="15">
      <c r="C2848" s="453"/>
      <c r="D2848" s="453"/>
      <c r="E2848" s="453"/>
    </row>
    <row r="2849" spans="3:5" ht="15">
      <c r="C2849" s="453"/>
      <c r="D2849" s="453"/>
      <c r="E2849" s="453"/>
    </row>
    <row r="2850" spans="3:5" ht="15">
      <c r="C2850" s="453"/>
      <c r="D2850" s="453"/>
      <c r="E2850" s="453"/>
    </row>
    <row r="2851" spans="3:5" ht="15">
      <c r="C2851" s="453"/>
      <c r="D2851" s="453"/>
      <c r="E2851" s="453"/>
    </row>
    <row r="2852" spans="3:5" ht="15">
      <c r="C2852" s="453"/>
      <c r="D2852" s="453"/>
      <c r="E2852" s="453"/>
    </row>
    <row r="2853" spans="3:5" ht="15">
      <c r="C2853" s="453"/>
      <c r="D2853" s="453"/>
      <c r="E2853" s="453"/>
    </row>
    <row r="2854" spans="3:5" ht="15">
      <c r="C2854" s="453"/>
      <c r="D2854" s="453"/>
      <c r="E2854" s="453"/>
    </row>
    <row r="2855" spans="3:5" ht="15">
      <c r="C2855" s="453"/>
      <c r="D2855" s="453"/>
      <c r="E2855" s="453"/>
    </row>
    <row r="2856" spans="3:5" ht="15">
      <c r="C2856" s="453"/>
      <c r="D2856" s="453"/>
      <c r="E2856" s="453"/>
    </row>
    <row r="2857" spans="3:5" ht="15">
      <c r="C2857" s="453"/>
      <c r="D2857" s="453"/>
      <c r="E2857" s="453"/>
    </row>
    <row r="2858" spans="3:5" ht="15">
      <c r="C2858" s="453"/>
      <c r="D2858" s="453"/>
      <c r="E2858" s="453"/>
    </row>
    <row r="2859" spans="3:5" ht="15">
      <c r="C2859" s="453"/>
      <c r="D2859" s="453"/>
      <c r="E2859" s="453"/>
    </row>
    <row r="2860" spans="3:5" ht="15">
      <c r="C2860" s="453"/>
      <c r="D2860" s="453"/>
      <c r="E2860" s="453"/>
    </row>
    <row r="2861" spans="3:5" ht="15">
      <c r="C2861" s="453"/>
      <c r="D2861" s="453"/>
      <c r="E2861" s="453"/>
    </row>
    <row r="2862" spans="3:5" ht="15">
      <c r="C2862" s="453"/>
      <c r="D2862" s="453"/>
      <c r="E2862" s="453"/>
    </row>
    <row r="2863" spans="3:5" ht="15">
      <c r="C2863" s="453"/>
      <c r="D2863" s="453"/>
      <c r="E2863" s="453"/>
    </row>
    <row r="2864" spans="3:5" ht="15">
      <c r="C2864" s="453"/>
      <c r="D2864" s="453"/>
      <c r="E2864" s="453"/>
    </row>
    <row r="2865" spans="3:5" ht="15">
      <c r="C2865" s="453"/>
      <c r="D2865" s="453"/>
      <c r="E2865" s="453"/>
    </row>
    <row r="2866" spans="3:5" ht="15">
      <c r="C2866" s="453"/>
      <c r="D2866" s="453"/>
      <c r="E2866" s="453"/>
    </row>
    <row r="2867" spans="3:5" ht="15">
      <c r="C2867" s="453"/>
      <c r="D2867" s="453"/>
      <c r="E2867" s="453"/>
    </row>
    <row r="2868" spans="3:5" ht="15">
      <c r="C2868" s="453"/>
      <c r="D2868" s="453"/>
      <c r="E2868" s="453"/>
    </row>
    <row r="2869" spans="3:5" ht="15">
      <c r="C2869" s="453"/>
      <c r="D2869" s="453"/>
      <c r="E2869" s="453"/>
    </row>
    <row r="2870" spans="3:5" ht="15">
      <c r="C2870" s="453"/>
      <c r="D2870" s="453"/>
      <c r="E2870" s="453"/>
    </row>
    <row r="2871" spans="3:5" ht="15">
      <c r="C2871" s="453"/>
      <c r="D2871" s="453"/>
      <c r="E2871" s="453"/>
    </row>
    <row r="2872" spans="3:5" ht="15">
      <c r="C2872" s="453"/>
      <c r="D2872" s="453"/>
      <c r="E2872" s="453"/>
    </row>
    <row r="2873" spans="3:5" ht="15">
      <c r="C2873" s="453"/>
      <c r="D2873" s="453"/>
      <c r="E2873" s="453"/>
    </row>
    <row r="2874" spans="3:5" ht="15">
      <c r="C2874" s="453"/>
      <c r="D2874" s="453"/>
      <c r="E2874" s="453"/>
    </row>
    <row r="2875" spans="3:5" ht="15">
      <c r="C2875" s="453"/>
      <c r="D2875" s="453"/>
      <c r="E2875" s="453"/>
    </row>
    <row r="2876" spans="3:5" ht="15">
      <c r="C2876" s="453"/>
      <c r="D2876" s="453"/>
      <c r="E2876" s="453"/>
    </row>
    <row r="2877" spans="3:5" ht="15">
      <c r="C2877" s="453"/>
      <c r="D2877" s="453"/>
      <c r="E2877" s="453"/>
    </row>
    <row r="2878" spans="3:5" ht="15">
      <c r="C2878" s="453"/>
      <c r="D2878" s="453"/>
      <c r="E2878" s="453"/>
    </row>
    <row r="2879" spans="3:5" ht="15">
      <c r="C2879" s="453"/>
      <c r="D2879" s="453"/>
      <c r="E2879" s="453"/>
    </row>
    <row r="2880" spans="3:5" ht="15">
      <c r="C2880" s="453"/>
      <c r="D2880" s="453"/>
      <c r="E2880" s="453"/>
    </row>
    <row r="2881" spans="3:5" ht="15">
      <c r="C2881" s="453"/>
      <c r="D2881" s="453"/>
      <c r="E2881" s="453"/>
    </row>
    <row r="2882" spans="3:5" ht="15">
      <c r="C2882" s="453"/>
      <c r="D2882" s="453"/>
      <c r="E2882" s="453"/>
    </row>
    <row r="2883" spans="3:5" ht="15">
      <c r="C2883" s="453"/>
      <c r="D2883" s="453"/>
      <c r="E2883" s="453"/>
    </row>
    <row r="2884" spans="3:5" ht="15">
      <c r="C2884" s="453"/>
      <c r="D2884" s="453"/>
      <c r="E2884" s="453"/>
    </row>
    <row r="2885" spans="3:5" ht="15">
      <c r="C2885" s="453"/>
      <c r="D2885" s="453"/>
      <c r="E2885" s="453"/>
    </row>
    <row r="2886" spans="3:5" ht="15">
      <c r="C2886" s="453"/>
      <c r="D2886" s="453"/>
      <c r="E2886" s="453"/>
    </row>
    <row r="2887" spans="3:5" ht="15">
      <c r="C2887" s="453"/>
      <c r="D2887" s="453"/>
      <c r="E2887" s="453"/>
    </row>
    <row r="2888" spans="3:5" ht="15">
      <c r="C2888" s="453"/>
      <c r="D2888" s="453"/>
      <c r="E2888" s="453"/>
    </row>
    <row r="2889" spans="3:5" ht="15">
      <c r="C2889" s="453"/>
      <c r="D2889" s="453"/>
      <c r="E2889" s="453"/>
    </row>
    <row r="2890" spans="3:5" ht="15">
      <c r="C2890" s="453"/>
      <c r="D2890" s="453"/>
      <c r="E2890" s="453"/>
    </row>
    <row r="2891" spans="3:5" ht="15">
      <c r="C2891" s="453"/>
      <c r="D2891" s="453"/>
      <c r="E2891" s="453"/>
    </row>
    <row r="2892" spans="3:5" ht="15">
      <c r="C2892" s="453"/>
      <c r="D2892" s="453"/>
      <c r="E2892" s="453"/>
    </row>
    <row r="2893" spans="3:5" ht="15">
      <c r="C2893" s="453"/>
      <c r="D2893" s="453"/>
      <c r="E2893" s="453"/>
    </row>
    <row r="2894" spans="3:5" ht="15">
      <c r="C2894" s="453"/>
      <c r="D2894" s="453"/>
      <c r="E2894" s="453"/>
    </row>
    <row r="2895" spans="3:5" ht="15">
      <c r="C2895" s="453"/>
      <c r="D2895" s="453"/>
      <c r="E2895" s="453"/>
    </row>
    <row r="2896" spans="3:5" ht="15">
      <c r="C2896" s="453"/>
      <c r="D2896" s="453"/>
      <c r="E2896" s="453"/>
    </row>
    <row r="2897" spans="3:5" ht="15">
      <c r="C2897" s="453"/>
      <c r="D2897" s="453"/>
      <c r="E2897" s="453"/>
    </row>
    <row r="2898" spans="3:5" ht="15">
      <c r="C2898" s="453"/>
      <c r="D2898" s="453"/>
      <c r="E2898" s="453"/>
    </row>
    <row r="2899" spans="3:5" ht="15">
      <c r="C2899" s="453"/>
      <c r="D2899" s="453"/>
      <c r="E2899" s="453"/>
    </row>
    <row r="2900" spans="3:5" ht="15">
      <c r="C2900" s="453"/>
      <c r="D2900" s="453"/>
      <c r="E2900" s="453"/>
    </row>
    <row r="2901" spans="3:5" ht="15">
      <c r="C2901" s="453"/>
      <c r="D2901" s="453"/>
      <c r="E2901" s="453"/>
    </row>
    <row r="2902" spans="3:5" ht="15">
      <c r="C2902" s="453"/>
      <c r="D2902" s="453"/>
      <c r="E2902" s="453"/>
    </row>
    <row r="2903" spans="3:5" ht="15">
      <c r="C2903" s="453"/>
      <c r="D2903" s="453"/>
      <c r="E2903" s="453"/>
    </row>
    <row r="2904" spans="3:5" ht="15">
      <c r="C2904" s="453"/>
      <c r="D2904" s="453"/>
      <c r="E2904" s="453"/>
    </row>
    <row r="2905" spans="3:5" ht="15">
      <c r="C2905" s="453"/>
      <c r="D2905" s="453"/>
      <c r="E2905" s="453"/>
    </row>
    <row r="2906" spans="3:5" ht="15">
      <c r="C2906" s="453"/>
      <c r="D2906" s="453"/>
      <c r="E2906" s="453"/>
    </row>
    <row r="2907" spans="3:5" ht="15">
      <c r="C2907" s="453"/>
      <c r="D2907" s="453"/>
      <c r="E2907" s="453"/>
    </row>
    <row r="2908" spans="3:5" ht="15">
      <c r="C2908" s="453"/>
      <c r="D2908" s="453"/>
      <c r="E2908" s="453"/>
    </row>
    <row r="2909" spans="3:5" ht="15">
      <c r="C2909" s="453"/>
      <c r="D2909" s="453"/>
      <c r="E2909" s="453"/>
    </row>
    <row r="2910" spans="3:5" ht="15">
      <c r="C2910" s="453"/>
      <c r="D2910" s="453"/>
      <c r="E2910" s="453"/>
    </row>
    <row r="2911" spans="3:5" ht="15">
      <c r="C2911" s="453"/>
      <c r="D2911" s="453"/>
      <c r="E2911" s="453"/>
    </row>
    <row r="2912" spans="3:5" ht="15">
      <c r="C2912" s="453"/>
      <c r="D2912" s="453"/>
      <c r="E2912" s="453"/>
    </row>
    <row r="2913" spans="3:5" ht="15">
      <c r="C2913" s="453"/>
      <c r="D2913" s="453"/>
      <c r="E2913" s="453"/>
    </row>
    <row r="2914" spans="3:5" ht="15">
      <c r="C2914" s="453"/>
      <c r="D2914" s="453"/>
      <c r="E2914" s="453"/>
    </row>
    <row r="2915" spans="3:5" ht="15">
      <c r="C2915" s="453"/>
      <c r="D2915" s="453"/>
      <c r="E2915" s="453"/>
    </row>
    <row r="2916" spans="3:5" ht="15">
      <c r="C2916" s="453"/>
      <c r="D2916" s="453"/>
      <c r="E2916" s="453"/>
    </row>
    <row r="2917" spans="3:5" ht="15">
      <c r="C2917" s="453"/>
      <c r="D2917" s="453"/>
      <c r="E2917" s="453"/>
    </row>
    <row r="2918" spans="3:5" ht="15">
      <c r="C2918" s="453"/>
      <c r="D2918" s="453"/>
      <c r="E2918" s="453"/>
    </row>
    <row r="2919" spans="3:5" ht="15">
      <c r="C2919" s="453"/>
      <c r="D2919" s="453"/>
      <c r="E2919" s="453"/>
    </row>
    <row r="2920" spans="3:5" ht="15">
      <c r="C2920" s="453"/>
      <c r="D2920" s="453"/>
      <c r="E2920" s="453"/>
    </row>
    <row r="2921" spans="3:5" ht="15">
      <c r="C2921" s="453"/>
      <c r="D2921" s="453"/>
      <c r="E2921" s="453"/>
    </row>
    <row r="2922" spans="3:5" ht="15">
      <c r="C2922" s="453"/>
      <c r="D2922" s="453"/>
      <c r="E2922" s="453"/>
    </row>
    <row r="2923" spans="3:5" ht="15">
      <c r="C2923" s="453"/>
      <c r="D2923" s="453"/>
      <c r="E2923" s="453"/>
    </row>
    <row r="2924" spans="3:5" ht="15">
      <c r="C2924" s="453"/>
      <c r="D2924" s="453"/>
      <c r="E2924" s="453"/>
    </row>
    <row r="2925" spans="3:5" ht="15">
      <c r="C2925" s="453"/>
      <c r="D2925" s="453"/>
      <c r="E2925" s="453"/>
    </row>
    <row r="2926" spans="3:5" ht="15">
      <c r="C2926" s="453"/>
      <c r="D2926" s="453"/>
      <c r="E2926" s="453"/>
    </row>
    <row r="2927" spans="3:5" ht="15">
      <c r="C2927" s="453"/>
      <c r="D2927" s="453"/>
      <c r="E2927" s="453"/>
    </row>
    <row r="2928" spans="3:5" ht="15">
      <c r="C2928" s="453"/>
      <c r="D2928" s="453"/>
      <c r="E2928" s="453"/>
    </row>
    <row r="2929" spans="3:5" ht="15">
      <c r="C2929" s="453"/>
      <c r="D2929" s="453"/>
      <c r="E2929" s="453"/>
    </row>
    <row r="2930" spans="3:5" ht="15">
      <c r="C2930" s="453"/>
      <c r="D2930" s="453"/>
      <c r="E2930" s="453"/>
    </row>
    <row r="2931" spans="3:5" ht="15">
      <c r="C2931" s="453"/>
      <c r="D2931" s="453"/>
      <c r="E2931" s="453"/>
    </row>
    <row r="2932" spans="3:5" ht="15">
      <c r="C2932" s="453"/>
      <c r="D2932" s="453"/>
      <c r="E2932" s="453"/>
    </row>
    <row r="2933" spans="3:5" ht="15">
      <c r="C2933" s="453"/>
      <c r="D2933" s="453"/>
      <c r="E2933" s="453"/>
    </row>
    <row r="2934" spans="3:5" ht="15">
      <c r="C2934" s="453"/>
      <c r="D2934" s="453"/>
      <c r="E2934" s="453"/>
    </row>
    <row r="2935" spans="3:5" ht="15">
      <c r="C2935" s="453"/>
      <c r="D2935" s="453"/>
      <c r="E2935" s="453"/>
    </row>
    <row r="2936" spans="3:5" ht="15">
      <c r="C2936" s="453"/>
      <c r="D2936" s="453"/>
      <c r="E2936" s="453"/>
    </row>
    <row r="2937" spans="3:5" ht="15">
      <c r="C2937" s="453"/>
      <c r="D2937" s="453"/>
      <c r="E2937" s="453"/>
    </row>
    <row r="2938" spans="3:5" ht="15">
      <c r="C2938" s="453"/>
      <c r="D2938" s="453"/>
      <c r="E2938" s="453"/>
    </row>
    <row r="2939" spans="3:5" ht="15">
      <c r="C2939" s="453"/>
      <c r="D2939" s="453"/>
      <c r="E2939" s="453"/>
    </row>
    <row r="2940" spans="3:5" ht="15">
      <c r="C2940" s="453"/>
      <c r="D2940" s="453"/>
      <c r="E2940" s="453"/>
    </row>
    <row r="2941" spans="3:5" ht="15">
      <c r="C2941" s="453"/>
      <c r="D2941" s="453"/>
      <c r="E2941" s="453"/>
    </row>
    <row r="2942" spans="3:5" ht="15">
      <c r="C2942" s="453"/>
      <c r="D2942" s="453"/>
      <c r="E2942" s="453"/>
    </row>
    <row r="2943" spans="3:5" ht="15">
      <c r="C2943" s="453"/>
      <c r="D2943" s="453"/>
      <c r="E2943" s="453"/>
    </row>
    <row r="2944" spans="3:5" ht="15">
      <c r="C2944" s="453"/>
      <c r="D2944" s="453"/>
      <c r="E2944" s="453"/>
    </row>
    <row r="2945" spans="3:5" ht="15">
      <c r="C2945" s="453"/>
      <c r="D2945" s="453"/>
      <c r="E2945" s="453"/>
    </row>
    <row r="2946" spans="3:5" ht="15">
      <c r="C2946" s="453"/>
      <c r="D2946" s="453"/>
      <c r="E2946" s="453"/>
    </row>
    <row r="2947" spans="3:5" ht="15">
      <c r="C2947" s="453"/>
      <c r="D2947" s="453"/>
      <c r="E2947" s="453"/>
    </row>
    <row r="2948" spans="3:5" ht="15">
      <c r="C2948" s="453"/>
      <c r="D2948" s="453"/>
      <c r="E2948" s="453"/>
    </row>
    <row r="2949" spans="3:5" ht="15">
      <c r="C2949" s="453"/>
      <c r="D2949" s="453"/>
      <c r="E2949" s="453"/>
    </row>
    <row r="2950" spans="3:5" ht="15">
      <c r="C2950" s="453"/>
      <c r="D2950" s="453"/>
      <c r="E2950" s="453"/>
    </row>
    <row r="2951" spans="3:5" ht="15">
      <c r="C2951" s="453"/>
      <c r="D2951" s="453"/>
      <c r="E2951" s="453"/>
    </row>
    <row r="2952" spans="3:5" ht="15">
      <c r="C2952" s="453"/>
      <c r="D2952" s="453"/>
      <c r="E2952" s="453"/>
    </row>
    <row r="2953" spans="3:5" ht="15">
      <c r="C2953" s="453"/>
      <c r="D2953" s="453"/>
      <c r="E2953" s="453"/>
    </row>
    <row r="2954" spans="3:5" ht="15">
      <c r="C2954" s="453"/>
      <c r="D2954" s="453"/>
      <c r="E2954" s="453"/>
    </row>
    <row r="2955" spans="3:5" ht="15">
      <c r="C2955" s="453"/>
      <c r="D2955" s="453"/>
      <c r="E2955" s="453"/>
    </row>
    <row r="2956" spans="3:5" ht="15">
      <c r="C2956" s="453"/>
      <c r="D2956" s="453"/>
      <c r="E2956" s="453"/>
    </row>
    <row r="2957" spans="3:5" ht="15">
      <c r="C2957" s="453"/>
      <c r="D2957" s="453"/>
      <c r="E2957" s="453"/>
    </row>
    <row r="2958" spans="3:5" ht="15">
      <c r="C2958" s="453"/>
      <c r="D2958" s="453"/>
      <c r="E2958" s="453"/>
    </row>
    <row r="2959" spans="3:5" ht="15">
      <c r="C2959" s="453"/>
      <c r="D2959" s="453"/>
      <c r="E2959" s="453"/>
    </row>
    <row r="2960" spans="3:5" ht="15">
      <c r="C2960" s="453"/>
      <c r="D2960" s="453"/>
      <c r="E2960" s="453"/>
    </row>
    <row r="2961" spans="3:5" ht="15">
      <c r="C2961" s="453"/>
      <c r="D2961" s="453"/>
      <c r="E2961" s="453"/>
    </row>
    <row r="2962" spans="3:5" ht="15">
      <c r="C2962" s="453"/>
      <c r="D2962" s="453"/>
      <c r="E2962" s="453"/>
    </row>
    <row r="2963" spans="3:5" ht="15">
      <c r="C2963" s="453"/>
      <c r="D2963" s="453"/>
      <c r="E2963" s="453"/>
    </row>
    <row r="2964" spans="3:5" ht="15">
      <c r="C2964" s="453"/>
      <c r="D2964" s="453"/>
      <c r="E2964" s="453"/>
    </row>
    <row r="2965" spans="3:5" ht="15">
      <c r="C2965" s="453"/>
      <c r="D2965" s="453"/>
      <c r="E2965" s="453"/>
    </row>
    <row r="2966" spans="3:5" ht="15">
      <c r="C2966" s="453"/>
      <c r="D2966" s="453"/>
      <c r="E2966" s="453"/>
    </row>
    <row r="2967" spans="3:5" ht="15">
      <c r="C2967" s="453"/>
      <c r="D2967" s="453"/>
      <c r="E2967" s="453"/>
    </row>
    <row r="2968" spans="3:5" ht="15">
      <c r="C2968" s="453"/>
      <c r="D2968" s="453"/>
      <c r="E2968" s="453"/>
    </row>
    <row r="2969" spans="3:5" ht="15">
      <c r="C2969" s="453"/>
      <c r="D2969" s="453"/>
      <c r="E2969" s="453"/>
    </row>
    <row r="2970" spans="3:5" ht="15">
      <c r="C2970" s="453"/>
      <c r="D2970" s="453"/>
      <c r="E2970" s="453"/>
    </row>
    <row r="2971" spans="3:5" ht="15">
      <c r="C2971" s="453"/>
      <c r="D2971" s="453"/>
      <c r="E2971" s="453"/>
    </row>
    <row r="2972" spans="3:5" ht="15">
      <c r="C2972" s="453"/>
      <c r="D2972" s="453"/>
      <c r="E2972" s="453"/>
    </row>
    <row r="2973" spans="3:5" ht="15">
      <c r="C2973" s="453"/>
      <c r="D2973" s="453"/>
      <c r="E2973" s="453"/>
    </row>
    <row r="2974" spans="3:5" ht="15">
      <c r="C2974" s="453"/>
      <c r="D2974" s="453"/>
      <c r="E2974" s="453"/>
    </row>
    <row r="2975" spans="3:5" ht="15">
      <c r="C2975" s="453"/>
      <c r="D2975" s="453"/>
      <c r="E2975" s="453"/>
    </row>
    <row r="2976" spans="3:5" ht="15">
      <c r="C2976" s="453"/>
      <c r="D2976" s="453"/>
      <c r="E2976" s="453"/>
    </row>
    <row r="2977" spans="3:5" ht="15">
      <c r="C2977" s="453"/>
      <c r="D2977" s="453"/>
      <c r="E2977" s="453"/>
    </row>
    <row r="2978" spans="3:5" ht="15">
      <c r="C2978" s="453"/>
      <c r="D2978" s="453"/>
      <c r="E2978" s="453"/>
    </row>
    <row r="2979" spans="3:5" ht="15">
      <c r="C2979" s="453"/>
      <c r="D2979" s="453"/>
      <c r="E2979" s="453"/>
    </row>
    <row r="2980" spans="3:5" ht="15">
      <c r="C2980" s="453"/>
      <c r="D2980" s="453"/>
      <c r="E2980" s="453"/>
    </row>
    <row r="2981" spans="3:5" ht="15">
      <c r="C2981" s="453"/>
      <c r="D2981" s="453"/>
      <c r="E2981" s="453"/>
    </row>
    <row r="2982" spans="3:5" ht="15">
      <c r="C2982" s="453"/>
      <c r="D2982" s="453"/>
      <c r="E2982" s="453"/>
    </row>
    <row r="2983" spans="3:5" ht="15">
      <c r="C2983" s="453"/>
      <c r="D2983" s="453"/>
      <c r="E2983" s="453"/>
    </row>
    <row r="2984" spans="3:5" ht="15">
      <c r="C2984" s="453"/>
      <c r="D2984" s="453"/>
      <c r="E2984" s="453"/>
    </row>
    <row r="2985" spans="3:5" ht="15">
      <c r="C2985" s="453"/>
      <c r="D2985" s="453"/>
      <c r="E2985" s="453"/>
    </row>
    <row r="2986" spans="3:5" ht="15">
      <c r="C2986" s="453"/>
      <c r="D2986" s="453"/>
      <c r="E2986" s="453"/>
    </row>
    <row r="2987" spans="3:5" ht="15">
      <c r="C2987" s="453"/>
      <c r="D2987" s="453"/>
      <c r="E2987" s="453"/>
    </row>
    <row r="2988" spans="3:5" ht="15">
      <c r="C2988" s="453"/>
      <c r="D2988" s="453"/>
      <c r="E2988" s="453"/>
    </row>
    <row r="2989" spans="3:5" ht="15">
      <c r="C2989" s="453"/>
      <c r="D2989" s="453"/>
      <c r="E2989" s="453"/>
    </row>
    <row r="2990" spans="3:5" ht="15">
      <c r="C2990" s="453"/>
      <c r="D2990" s="453"/>
      <c r="E2990" s="453"/>
    </row>
    <row r="2991" spans="3:5" ht="15">
      <c r="C2991" s="453"/>
      <c r="D2991" s="453"/>
      <c r="E2991" s="453"/>
    </row>
    <row r="2992" spans="3:5" ht="15">
      <c r="C2992" s="453"/>
      <c r="D2992" s="453"/>
      <c r="E2992" s="453"/>
    </row>
    <row r="2993" spans="3:5" ht="15">
      <c r="C2993" s="453"/>
      <c r="D2993" s="453"/>
      <c r="E2993" s="453"/>
    </row>
    <row r="2994" spans="3:5" ht="15">
      <c r="C2994" s="453"/>
      <c r="D2994" s="453"/>
      <c r="E2994" s="453"/>
    </row>
    <row r="2995" spans="3:5" ht="15">
      <c r="C2995" s="453"/>
      <c r="D2995" s="453"/>
      <c r="E2995" s="453"/>
    </row>
    <row r="2996" spans="3:5" ht="15">
      <c r="C2996" s="453"/>
      <c r="D2996" s="453"/>
      <c r="E2996" s="453"/>
    </row>
    <row r="2997" spans="3:5" ht="15">
      <c r="C2997" s="453"/>
      <c r="D2997" s="453"/>
      <c r="E2997" s="453"/>
    </row>
    <row r="2998" spans="3:5" ht="15">
      <c r="C2998" s="453"/>
      <c r="D2998" s="453"/>
      <c r="E2998" s="453"/>
    </row>
    <row r="2999" spans="3:5" ht="15">
      <c r="C2999" s="453"/>
      <c r="D2999" s="453"/>
      <c r="E2999" s="453"/>
    </row>
    <row r="3000" spans="3:5" ht="15">
      <c r="C3000" s="453"/>
      <c r="D3000" s="453"/>
      <c r="E3000" s="453"/>
    </row>
    <row r="3001" spans="3:5" ht="15">
      <c r="C3001" s="453"/>
      <c r="D3001" s="453"/>
      <c r="E3001" s="453"/>
    </row>
    <row r="3002" spans="3:5" ht="15">
      <c r="C3002" s="453"/>
      <c r="D3002" s="453"/>
      <c r="E3002" s="453"/>
    </row>
    <row r="3003" spans="3:5" ht="15">
      <c r="C3003" s="453"/>
      <c r="D3003" s="453"/>
      <c r="E3003" s="453"/>
    </row>
    <row r="3004" spans="3:5" ht="15">
      <c r="C3004" s="453"/>
      <c r="D3004" s="453"/>
      <c r="E3004" s="453"/>
    </row>
    <row r="3005" spans="3:5" ht="15">
      <c r="C3005" s="453"/>
      <c r="D3005" s="453"/>
      <c r="E3005" s="453"/>
    </row>
    <row r="3006" spans="3:5" ht="15">
      <c r="C3006" s="453"/>
      <c r="D3006" s="453"/>
      <c r="E3006" s="453"/>
    </row>
    <row r="3007" spans="3:5" ht="15">
      <c r="C3007" s="453"/>
      <c r="D3007" s="453"/>
      <c r="E3007" s="453"/>
    </row>
    <row r="3008" spans="3:5" ht="15">
      <c r="C3008" s="453"/>
      <c r="D3008" s="453"/>
      <c r="E3008" s="453"/>
    </row>
    <row r="3009" spans="3:5" ht="15">
      <c r="C3009" s="453"/>
      <c r="D3009" s="453"/>
      <c r="E3009" s="453"/>
    </row>
    <row r="3010" spans="3:5" ht="15">
      <c r="C3010" s="453"/>
      <c r="D3010" s="453"/>
      <c r="E3010" s="453"/>
    </row>
    <row r="3011" spans="3:5" ht="15">
      <c r="C3011" s="453"/>
      <c r="D3011" s="453"/>
      <c r="E3011" s="453"/>
    </row>
    <row r="3012" spans="3:5" ht="15">
      <c r="C3012" s="453"/>
      <c r="D3012" s="453"/>
      <c r="E3012" s="453"/>
    </row>
    <row r="3013" spans="3:5" ht="15">
      <c r="C3013" s="453"/>
      <c r="D3013" s="453"/>
      <c r="E3013" s="453"/>
    </row>
    <row r="3014" spans="3:5" ht="15">
      <c r="C3014" s="453"/>
      <c r="D3014" s="453"/>
      <c r="E3014" s="453"/>
    </row>
    <row r="3015" spans="3:5" ht="15">
      <c r="C3015" s="453"/>
      <c r="D3015" s="453"/>
      <c r="E3015" s="453"/>
    </row>
    <row r="3016" spans="3:5" ht="15">
      <c r="C3016" s="453"/>
      <c r="D3016" s="453"/>
      <c r="E3016" s="453"/>
    </row>
    <row r="3017" spans="3:5" ht="15">
      <c r="C3017" s="453"/>
      <c r="D3017" s="453"/>
      <c r="E3017" s="453"/>
    </row>
    <row r="3018" spans="3:5" ht="15">
      <c r="C3018" s="453"/>
      <c r="D3018" s="453"/>
      <c r="E3018" s="453"/>
    </row>
    <row r="3019" spans="3:5" ht="15">
      <c r="C3019" s="453"/>
      <c r="D3019" s="453"/>
      <c r="E3019" s="453"/>
    </row>
    <row r="3020" spans="3:5" ht="15">
      <c r="C3020" s="453"/>
      <c r="D3020" s="453"/>
      <c r="E3020" s="453"/>
    </row>
    <row r="3021" spans="3:5" ht="15">
      <c r="C3021" s="453"/>
      <c r="D3021" s="453"/>
      <c r="E3021" s="453"/>
    </row>
    <row r="3022" spans="3:5" ht="15">
      <c r="C3022" s="453"/>
      <c r="D3022" s="453"/>
      <c r="E3022" s="453"/>
    </row>
    <row r="3023" spans="3:5" ht="15">
      <c r="C3023" s="453"/>
      <c r="D3023" s="453"/>
      <c r="E3023" s="453"/>
    </row>
    <row r="3024" spans="3:5" ht="15">
      <c r="C3024" s="453"/>
      <c r="D3024" s="453"/>
      <c r="E3024" s="453"/>
    </row>
    <row r="3025" spans="3:5" ht="15">
      <c r="C3025" s="453"/>
      <c r="D3025" s="453"/>
      <c r="E3025" s="453"/>
    </row>
    <row r="3026" spans="3:5" ht="15">
      <c r="C3026" s="453"/>
      <c r="D3026" s="453"/>
      <c r="E3026" s="453"/>
    </row>
    <row r="3027" spans="3:5" ht="15">
      <c r="C3027" s="453"/>
      <c r="D3027" s="453"/>
      <c r="E3027" s="453"/>
    </row>
    <row r="3028" spans="3:5" ht="15">
      <c r="C3028" s="453"/>
      <c r="D3028" s="453"/>
      <c r="E3028" s="453"/>
    </row>
    <row r="3029" spans="3:5" ht="15">
      <c r="C3029" s="453"/>
      <c r="D3029" s="453"/>
      <c r="E3029" s="453"/>
    </row>
    <row r="3030" spans="3:5" ht="15">
      <c r="C3030" s="453"/>
      <c r="D3030" s="453"/>
      <c r="E3030" s="453"/>
    </row>
    <row r="3031" spans="3:5" ht="15">
      <c r="C3031" s="453"/>
      <c r="D3031" s="453"/>
      <c r="E3031" s="453"/>
    </row>
    <row r="3032" spans="3:5" ht="15">
      <c r="C3032" s="453"/>
      <c r="D3032" s="453"/>
      <c r="E3032" s="453"/>
    </row>
    <row r="3033" spans="3:5" ht="15">
      <c r="C3033" s="453"/>
      <c r="D3033" s="453"/>
      <c r="E3033" s="453"/>
    </row>
    <row r="3034" spans="3:5" ht="15">
      <c r="C3034" s="453"/>
      <c r="D3034" s="453"/>
      <c r="E3034" s="453"/>
    </row>
    <row r="3035" spans="3:5" ht="15">
      <c r="C3035" s="453"/>
      <c r="D3035" s="453"/>
      <c r="E3035" s="453"/>
    </row>
    <row r="3036" spans="3:5" ht="15">
      <c r="C3036" s="453"/>
      <c r="D3036" s="453"/>
      <c r="E3036" s="453"/>
    </row>
    <row r="3037" spans="3:5" ht="15">
      <c r="C3037" s="453"/>
      <c r="D3037" s="453"/>
      <c r="E3037" s="453"/>
    </row>
    <row r="3038" spans="3:5" ht="15">
      <c r="C3038" s="453"/>
      <c r="D3038" s="453"/>
      <c r="E3038" s="453"/>
    </row>
    <row r="3039" spans="3:5" ht="15">
      <c r="C3039" s="453"/>
      <c r="D3039" s="453"/>
      <c r="E3039" s="453"/>
    </row>
    <row r="3040" spans="3:5" ht="15">
      <c r="C3040" s="453"/>
      <c r="D3040" s="453"/>
      <c r="E3040" s="453"/>
    </row>
    <row r="3041" spans="3:5" ht="15">
      <c r="C3041" s="453"/>
      <c r="D3041" s="453"/>
      <c r="E3041" s="453"/>
    </row>
    <row r="3042" spans="3:5" ht="15">
      <c r="C3042" s="453"/>
      <c r="D3042" s="453"/>
      <c r="E3042" s="453"/>
    </row>
    <row r="3043" spans="3:5" ht="15">
      <c r="C3043" s="453"/>
      <c r="D3043" s="453"/>
      <c r="E3043" s="453"/>
    </row>
    <row r="3044" spans="3:5" ht="15">
      <c r="C3044" s="453"/>
      <c r="D3044" s="453"/>
      <c r="E3044" s="453"/>
    </row>
    <row r="3045" spans="3:5" ht="15">
      <c r="C3045" s="453"/>
      <c r="D3045" s="453"/>
      <c r="E3045" s="453"/>
    </row>
    <row r="3046" spans="3:5" ht="15">
      <c r="C3046" s="453"/>
      <c r="D3046" s="453"/>
      <c r="E3046" s="453"/>
    </row>
    <row r="3047" spans="3:5" ht="15">
      <c r="C3047" s="453"/>
      <c r="D3047" s="453"/>
      <c r="E3047" s="453"/>
    </row>
    <row r="3048" spans="3:5" ht="15">
      <c r="C3048" s="453"/>
      <c r="D3048" s="453"/>
      <c r="E3048" s="453"/>
    </row>
    <row r="3049" spans="3:5" ht="15">
      <c r="C3049" s="453"/>
      <c r="D3049" s="453"/>
      <c r="E3049" s="453"/>
    </row>
    <row r="3050" spans="3:5" ht="15">
      <c r="C3050" s="453"/>
      <c r="D3050" s="453"/>
      <c r="E3050" s="453"/>
    </row>
    <row r="3051" spans="3:5" ht="15">
      <c r="C3051" s="453"/>
      <c r="D3051" s="453"/>
      <c r="E3051" s="453"/>
    </row>
    <row r="3052" spans="3:5" ht="15">
      <c r="C3052" s="453"/>
      <c r="D3052" s="453"/>
      <c r="E3052" s="453"/>
    </row>
    <row r="3053" spans="3:5" ht="15">
      <c r="C3053" s="453"/>
      <c r="D3053" s="453"/>
      <c r="E3053" s="453"/>
    </row>
    <row r="3054" spans="3:5" ht="15">
      <c r="C3054" s="453"/>
      <c r="D3054" s="453"/>
      <c r="E3054" s="453"/>
    </row>
    <row r="3055" spans="3:5" ht="15">
      <c r="C3055" s="453"/>
      <c r="D3055" s="453"/>
      <c r="E3055" s="453"/>
    </row>
    <row r="3056" spans="3:5" ht="15">
      <c r="C3056" s="453"/>
      <c r="D3056" s="453"/>
      <c r="E3056" s="453"/>
    </row>
    <row r="3057" spans="3:5" ht="15">
      <c r="C3057" s="453"/>
      <c r="D3057" s="453"/>
      <c r="E3057" s="453"/>
    </row>
    <row r="3058" spans="3:5" ht="15">
      <c r="C3058" s="453"/>
      <c r="D3058" s="453"/>
      <c r="E3058" s="453"/>
    </row>
    <row r="3059" spans="3:5" ht="15">
      <c r="C3059" s="453"/>
      <c r="D3059" s="453"/>
      <c r="E3059" s="453"/>
    </row>
    <row r="3060" spans="3:5" ht="15">
      <c r="C3060" s="453"/>
      <c r="D3060" s="453"/>
      <c r="E3060" s="453"/>
    </row>
    <row r="3061" spans="3:5" ht="15">
      <c r="C3061" s="453"/>
      <c r="D3061" s="453"/>
      <c r="E3061" s="453"/>
    </row>
    <row r="3062" spans="3:5" ht="15">
      <c r="C3062" s="453"/>
      <c r="D3062" s="453"/>
      <c r="E3062" s="453"/>
    </row>
    <row r="3063" spans="3:5" ht="15">
      <c r="C3063" s="453"/>
      <c r="D3063" s="453"/>
      <c r="E3063" s="453"/>
    </row>
    <row r="3064" spans="3:5" ht="15">
      <c r="C3064" s="453"/>
      <c r="D3064" s="453"/>
      <c r="E3064" s="453"/>
    </row>
    <row r="3065" spans="3:5" ht="15">
      <c r="C3065" s="453"/>
      <c r="D3065" s="453"/>
      <c r="E3065" s="453"/>
    </row>
    <row r="3066" spans="3:5" ht="15">
      <c r="C3066" s="453"/>
      <c r="D3066" s="453"/>
      <c r="E3066" s="453"/>
    </row>
    <row r="3067" spans="3:5" ht="15">
      <c r="C3067" s="453"/>
      <c r="D3067" s="453"/>
      <c r="E3067" s="453"/>
    </row>
    <row r="3068" spans="3:5" ht="15">
      <c r="C3068" s="453"/>
      <c r="D3068" s="453"/>
      <c r="E3068" s="453"/>
    </row>
    <row r="3069" spans="3:5" ht="15">
      <c r="C3069" s="453"/>
      <c r="D3069" s="453"/>
      <c r="E3069" s="453"/>
    </row>
    <row r="3070" spans="3:5" ht="15">
      <c r="C3070" s="453"/>
      <c r="D3070" s="453"/>
      <c r="E3070" s="453"/>
    </row>
    <row r="3071" spans="3:5" ht="15">
      <c r="C3071" s="453"/>
      <c r="D3071" s="453"/>
      <c r="E3071" s="453"/>
    </row>
    <row r="3072" spans="3:5" ht="15">
      <c r="C3072" s="453"/>
      <c r="D3072" s="453"/>
      <c r="E3072" s="453"/>
    </row>
    <row r="3073" spans="3:5" ht="15">
      <c r="C3073" s="453"/>
      <c r="D3073" s="453"/>
      <c r="E3073" s="453"/>
    </row>
    <row r="3074" spans="3:5" ht="15">
      <c r="C3074" s="453"/>
      <c r="D3074" s="453"/>
      <c r="E3074" s="453"/>
    </row>
    <row r="3075" spans="3:5" ht="15">
      <c r="C3075" s="453"/>
      <c r="D3075" s="453"/>
      <c r="E3075" s="453"/>
    </row>
    <row r="3076" spans="3:5" ht="15">
      <c r="C3076" s="453"/>
      <c r="D3076" s="453"/>
      <c r="E3076" s="453"/>
    </row>
    <row r="3077" spans="3:5" ht="15">
      <c r="C3077" s="453"/>
      <c r="D3077" s="453"/>
      <c r="E3077" s="453"/>
    </row>
    <row r="3078" spans="3:5" ht="15">
      <c r="C3078" s="453"/>
      <c r="D3078" s="453"/>
      <c r="E3078" s="453"/>
    </row>
    <row r="3079" spans="3:5" ht="15">
      <c r="C3079" s="453"/>
      <c r="D3079" s="453"/>
      <c r="E3079" s="453"/>
    </row>
    <row r="3080" spans="3:5" ht="15">
      <c r="C3080" s="453"/>
      <c r="D3080" s="453"/>
      <c r="E3080" s="453"/>
    </row>
    <row r="3081" spans="3:5" ht="15">
      <c r="C3081" s="453"/>
      <c r="D3081" s="453"/>
      <c r="E3081" s="453"/>
    </row>
    <row r="3082" spans="3:5" ht="15">
      <c r="C3082" s="453"/>
      <c r="D3082" s="453"/>
      <c r="E3082" s="453"/>
    </row>
    <row r="3083" spans="3:5" ht="15">
      <c r="C3083" s="453"/>
      <c r="D3083" s="453"/>
      <c r="E3083" s="453"/>
    </row>
    <row r="3084" spans="3:5" ht="15">
      <c r="C3084" s="453"/>
      <c r="D3084" s="453"/>
      <c r="E3084" s="453"/>
    </row>
    <row r="3085" spans="3:5" ht="15">
      <c r="C3085" s="453"/>
      <c r="D3085" s="453"/>
      <c r="E3085" s="453"/>
    </row>
    <row r="3086" spans="3:5" ht="15">
      <c r="C3086" s="453"/>
      <c r="D3086" s="453"/>
      <c r="E3086" s="453"/>
    </row>
    <row r="3087" spans="3:5" ht="15">
      <c r="C3087" s="453"/>
      <c r="D3087" s="453"/>
      <c r="E3087" s="453"/>
    </row>
    <row r="3088" spans="3:5" ht="15">
      <c r="C3088" s="453"/>
      <c r="D3088" s="453"/>
      <c r="E3088" s="453"/>
    </row>
    <row r="3089" spans="3:5" ht="15">
      <c r="C3089" s="453"/>
      <c r="D3089" s="453"/>
      <c r="E3089" s="453"/>
    </row>
    <row r="3090" spans="3:5" ht="15">
      <c r="C3090" s="453"/>
      <c r="D3090" s="453"/>
      <c r="E3090" s="453"/>
    </row>
    <row r="3091" spans="3:5" ht="15">
      <c r="C3091" s="453"/>
      <c r="D3091" s="453"/>
      <c r="E3091" s="453"/>
    </row>
    <row r="3092" spans="3:5" ht="15">
      <c r="C3092" s="453"/>
      <c r="D3092" s="453"/>
      <c r="E3092" s="453"/>
    </row>
    <row r="3093" spans="3:5" ht="15">
      <c r="C3093" s="453"/>
      <c r="D3093" s="453"/>
      <c r="E3093" s="453"/>
    </row>
    <row r="3094" spans="3:5" ht="15">
      <c r="C3094" s="453"/>
      <c r="D3094" s="453"/>
      <c r="E3094" s="453"/>
    </row>
    <row r="3095" spans="3:5" ht="15">
      <c r="C3095" s="453"/>
      <c r="D3095" s="453"/>
      <c r="E3095" s="453"/>
    </row>
    <row r="3096" spans="3:5" ht="15">
      <c r="C3096" s="453"/>
      <c r="D3096" s="453"/>
      <c r="E3096" s="453"/>
    </row>
    <row r="3097" spans="3:5" ht="15">
      <c r="C3097" s="453"/>
      <c r="D3097" s="453"/>
      <c r="E3097" s="453"/>
    </row>
    <row r="3098" spans="3:5" ht="15">
      <c r="C3098" s="453"/>
      <c r="D3098" s="453"/>
      <c r="E3098" s="453"/>
    </row>
    <row r="3099" spans="3:5" ht="15">
      <c r="C3099" s="453"/>
      <c r="D3099" s="453"/>
      <c r="E3099" s="453"/>
    </row>
    <row r="3100" spans="3:5" ht="15">
      <c r="C3100" s="453"/>
      <c r="D3100" s="453"/>
      <c r="E3100" s="453"/>
    </row>
    <row r="3101" spans="3:5" ht="15">
      <c r="C3101" s="453"/>
      <c r="D3101" s="453"/>
      <c r="E3101" s="453"/>
    </row>
    <row r="3102" spans="3:5" ht="15">
      <c r="C3102" s="453"/>
      <c r="D3102" s="453"/>
      <c r="E3102" s="453"/>
    </row>
    <row r="3103" spans="3:5" ht="15">
      <c r="C3103" s="453"/>
      <c r="D3103" s="453"/>
      <c r="E3103" s="453"/>
    </row>
    <row r="3104" spans="3:5" ht="15">
      <c r="C3104" s="453"/>
      <c r="D3104" s="453"/>
      <c r="E3104" s="453"/>
    </row>
    <row r="3105" spans="3:5" ht="15">
      <c r="C3105" s="453"/>
      <c r="D3105" s="453"/>
      <c r="E3105" s="453"/>
    </row>
    <row r="3106" spans="3:5" ht="15">
      <c r="C3106" s="453"/>
      <c r="D3106" s="453"/>
      <c r="E3106" s="453"/>
    </row>
    <row r="3107" spans="3:5" ht="15">
      <c r="C3107" s="453"/>
      <c r="D3107" s="453"/>
      <c r="E3107" s="453"/>
    </row>
    <row r="3108" spans="3:5" ht="15">
      <c r="C3108" s="453"/>
      <c r="D3108" s="453"/>
      <c r="E3108" s="453"/>
    </row>
    <row r="3109" spans="3:5" ht="15">
      <c r="C3109" s="453"/>
      <c r="D3109" s="453"/>
      <c r="E3109" s="453"/>
    </row>
    <row r="3110" spans="3:5" ht="15">
      <c r="C3110" s="453"/>
      <c r="D3110" s="453"/>
      <c r="E3110" s="453"/>
    </row>
    <row r="3111" spans="3:5" ht="15">
      <c r="C3111" s="453"/>
      <c r="D3111" s="453"/>
      <c r="E3111" s="453"/>
    </row>
    <row r="3112" spans="3:5" ht="15">
      <c r="C3112" s="453"/>
      <c r="D3112" s="453"/>
      <c r="E3112" s="453"/>
    </row>
    <row r="3113" spans="3:5" ht="15">
      <c r="C3113" s="453"/>
      <c r="D3113" s="453"/>
      <c r="E3113" s="453"/>
    </row>
    <row r="3114" spans="3:5" ht="15">
      <c r="C3114" s="453"/>
      <c r="D3114" s="453"/>
      <c r="E3114" s="453"/>
    </row>
    <row r="3115" spans="3:5" ht="15">
      <c r="C3115" s="453"/>
      <c r="D3115" s="453"/>
      <c r="E3115" s="453"/>
    </row>
    <row r="3116" spans="3:5" ht="15">
      <c r="C3116" s="453"/>
      <c r="D3116" s="453"/>
      <c r="E3116" s="453"/>
    </row>
    <row r="3117" spans="3:5" ht="15">
      <c r="C3117" s="453"/>
      <c r="D3117" s="453"/>
      <c r="E3117" s="453"/>
    </row>
    <row r="3118" spans="3:5" ht="15">
      <c r="C3118" s="453"/>
      <c r="D3118" s="453"/>
      <c r="E3118" s="453"/>
    </row>
    <row r="3119" spans="3:5" ht="15">
      <c r="C3119" s="453"/>
      <c r="D3119" s="453"/>
      <c r="E3119" s="453"/>
    </row>
    <row r="3120" spans="3:5" ht="15">
      <c r="C3120" s="453"/>
      <c r="D3120" s="453"/>
      <c r="E3120" s="453"/>
    </row>
    <row r="3121" spans="3:5" ht="15">
      <c r="C3121" s="453"/>
      <c r="D3121" s="453"/>
      <c r="E3121" s="453"/>
    </row>
    <row r="3122" spans="3:5" ht="15">
      <c r="C3122" s="453"/>
      <c r="D3122" s="453"/>
      <c r="E3122" s="453"/>
    </row>
    <row r="3123" spans="3:5" ht="15">
      <c r="C3123" s="453"/>
      <c r="D3123" s="453"/>
      <c r="E3123" s="453"/>
    </row>
    <row r="3124" spans="3:5" ht="15">
      <c r="C3124" s="453"/>
      <c r="D3124" s="453"/>
      <c r="E3124" s="453"/>
    </row>
    <row r="3125" spans="3:5" ht="15">
      <c r="C3125" s="453"/>
      <c r="D3125" s="453"/>
      <c r="E3125" s="453"/>
    </row>
    <row r="3126" spans="3:5" ht="15">
      <c r="C3126" s="453"/>
      <c r="D3126" s="453"/>
      <c r="E3126" s="453"/>
    </row>
    <row r="3127" spans="3:5" ht="15">
      <c r="C3127" s="453"/>
      <c r="D3127" s="453"/>
      <c r="E3127" s="453"/>
    </row>
    <row r="3128" spans="3:5" ht="15">
      <c r="C3128" s="453"/>
      <c r="D3128" s="453"/>
      <c r="E3128" s="453"/>
    </row>
    <row r="3129" spans="3:5" ht="15">
      <c r="C3129" s="453"/>
      <c r="D3129" s="453"/>
      <c r="E3129" s="453"/>
    </row>
    <row r="3130" spans="3:5" ht="15">
      <c r="C3130" s="453"/>
      <c r="D3130" s="453"/>
      <c r="E3130" s="453"/>
    </row>
    <row r="3131" spans="3:5" ht="15">
      <c r="C3131" s="453"/>
      <c r="D3131" s="453"/>
      <c r="E3131" s="453"/>
    </row>
    <row r="3132" spans="3:5" ht="15">
      <c r="C3132" s="453"/>
      <c r="D3132" s="453"/>
      <c r="E3132" s="453"/>
    </row>
    <row r="3133" spans="3:5" ht="15">
      <c r="C3133" s="453"/>
      <c r="D3133" s="453"/>
      <c r="E3133" s="453"/>
    </row>
    <row r="3134" spans="3:5" ht="15">
      <c r="C3134" s="453"/>
      <c r="D3134" s="453"/>
      <c r="E3134" s="453"/>
    </row>
    <row r="3135" spans="3:5" ht="15">
      <c r="C3135" s="453"/>
      <c r="D3135" s="453"/>
      <c r="E3135" s="453"/>
    </row>
    <row r="3136" spans="3:5" ht="15">
      <c r="C3136" s="453"/>
      <c r="D3136" s="453"/>
      <c r="E3136" s="453"/>
    </row>
    <row r="3137" spans="3:5" ht="15">
      <c r="C3137" s="453"/>
      <c r="D3137" s="453"/>
      <c r="E3137" s="453"/>
    </row>
    <row r="3138" spans="3:5" ht="15">
      <c r="C3138" s="453"/>
      <c r="D3138" s="453"/>
      <c r="E3138" s="453"/>
    </row>
    <row r="3139" spans="3:5" ht="15">
      <c r="C3139" s="453"/>
      <c r="D3139" s="453"/>
      <c r="E3139" s="453"/>
    </row>
    <row r="3140" spans="3:5" ht="15">
      <c r="C3140" s="453"/>
      <c r="D3140" s="453"/>
      <c r="E3140" s="453"/>
    </row>
    <row r="3141" spans="3:5" ht="15">
      <c r="C3141" s="453"/>
      <c r="D3141" s="453"/>
      <c r="E3141" s="453"/>
    </row>
    <row r="3142" spans="3:5" ht="15">
      <c r="C3142" s="453"/>
      <c r="D3142" s="453"/>
      <c r="E3142" s="453"/>
    </row>
    <row r="3143" spans="3:5" ht="15">
      <c r="C3143" s="453"/>
      <c r="D3143" s="453"/>
      <c r="E3143" s="453"/>
    </row>
    <row r="3144" spans="3:5" ht="15">
      <c r="C3144" s="453"/>
      <c r="D3144" s="453"/>
      <c r="E3144" s="453"/>
    </row>
    <row r="3145" spans="3:5" ht="15">
      <c r="C3145" s="453"/>
      <c r="D3145" s="453"/>
      <c r="E3145" s="453"/>
    </row>
    <row r="3146" spans="3:5" ht="15">
      <c r="C3146" s="453"/>
      <c r="D3146" s="453"/>
      <c r="E3146" s="453"/>
    </row>
    <row r="3147" spans="3:5" ht="15">
      <c r="C3147" s="453"/>
      <c r="D3147" s="453"/>
      <c r="E3147" s="453"/>
    </row>
    <row r="3148" spans="3:5" ht="15">
      <c r="C3148" s="453"/>
      <c r="D3148" s="453"/>
      <c r="E3148" s="453"/>
    </row>
    <row r="3149" spans="3:5" ht="15">
      <c r="C3149" s="453"/>
      <c r="D3149" s="453"/>
      <c r="E3149" s="453"/>
    </row>
    <row r="3150" spans="3:5" ht="15">
      <c r="C3150" s="453"/>
      <c r="D3150" s="453"/>
      <c r="E3150" s="453"/>
    </row>
    <row r="3151" spans="3:5" ht="15">
      <c r="C3151" s="453"/>
      <c r="D3151" s="453"/>
      <c r="E3151" s="453"/>
    </row>
    <row r="3152" spans="3:5" ht="15">
      <c r="C3152" s="453"/>
      <c r="D3152" s="453"/>
      <c r="E3152" s="453"/>
    </row>
    <row r="3153" spans="3:5" ht="15">
      <c r="C3153" s="453"/>
      <c r="D3153" s="453"/>
      <c r="E3153" s="453"/>
    </row>
    <row r="3154" spans="3:5" ht="15">
      <c r="C3154" s="453"/>
      <c r="D3154" s="453"/>
      <c r="E3154" s="453"/>
    </row>
    <row r="3155" spans="3:5" ht="15">
      <c r="C3155" s="453"/>
      <c r="D3155" s="453"/>
      <c r="E3155" s="453"/>
    </row>
    <row r="3156" spans="3:5" ht="15">
      <c r="C3156" s="453"/>
      <c r="D3156" s="453"/>
      <c r="E3156" s="453"/>
    </row>
    <row r="3157" spans="3:5" ht="15">
      <c r="C3157" s="453"/>
      <c r="D3157" s="453"/>
      <c r="E3157" s="453"/>
    </row>
    <row r="3158" spans="3:5" ht="15">
      <c r="C3158" s="453"/>
      <c r="D3158" s="453"/>
      <c r="E3158" s="453"/>
    </row>
    <row r="3159" spans="3:5" ht="15">
      <c r="C3159" s="453"/>
      <c r="D3159" s="453"/>
      <c r="E3159" s="453"/>
    </row>
    <row r="3160" spans="3:5" ht="15">
      <c r="C3160" s="453"/>
      <c r="D3160" s="453"/>
      <c r="E3160" s="453"/>
    </row>
    <row r="3161" spans="3:5" ht="15">
      <c r="C3161" s="453"/>
      <c r="D3161" s="453"/>
      <c r="E3161" s="453"/>
    </row>
    <row r="3162" spans="3:5" ht="15">
      <c r="C3162" s="453"/>
      <c r="D3162" s="453"/>
      <c r="E3162" s="453"/>
    </row>
    <row r="3163" spans="3:5" ht="15">
      <c r="C3163" s="453"/>
      <c r="D3163" s="453"/>
      <c r="E3163" s="453"/>
    </row>
    <row r="3164" spans="3:5" ht="15">
      <c r="C3164" s="453"/>
      <c r="D3164" s="453"/>
      <c r="E3164" s="453"/>
    </row>
    <row r="3165" spans="3:5" ht="15">
      <c r="C3165" s="453"/>
      <c r="D3165" s="453"/>
      <c r="E3165" s="453"/>
    </row>
    <row r="3166" spans="3:5" ht="15">
      <c r="C3166" s="453"/>
      <c r="D3166" s="453"/>
      <c r="E3166" s="453"/>
    </row>
    <row r="3167" spans="3:5" ht="15">
      <c r="C3167" s="453"/>
      <c r="D3167" s="453"/>
      <c r="E3167" s="453"/>
    </row>
    <row r="3168" spans="3:5" ht="15">
      <c r="C3168" s="453"/>
      <c r="D3168" s="453"/>
      <c r="E3168" s="453"/>
    </row>
    <row r="3169" spans="3:5" ht="15">
      <c r="C3169" s="453"/>
      <c r="D3169" s="453"/>
      <c r="E3169" s="453"/>
    </row>
    <row r="3170" spans="3:5" ht="15">
      <c r="C3170" s="453"/>
      <c r="D3170" s="453"/>
      <c r="E3170" s="453"/>
    </row>
    <row r="3171" spans="3:5" ht="15">
      <c r="C3171" s="453"/>
      <c r="D3171" s="453"/>
      <c r="E3171" s="453"/>
    </row>
    <row r="3172" spans="3:5" ht="15">
      <c r="C3172" s="453"/>
      <c r="D3172" s="453"/>
      <c r="E3172" s="453"/>
    </row>
    <row r="3173" spans="3:5" ht="15">
      <c r="C3173" s="453"/>
      <c r="D3173" s="453"/>
      <c r="E3173" s="453"/>
    </row>
    <row r="3174" spans="3:5" ht="15">
      <c r="C3174" s="453"/>
      <c r="D3174" s="453"/>
      <c r="E3174" s="453"/>
    </row>
    <row r="3175" spans="3:5" ht="15">
      <c r="C3175" s="453"/>
      <c r="D3175" s="453"/>
      <c r="E3175" s="453"/>
    </row>
    <row r="3176" spans="3:5" ht="15">
      <c r="C3176" s="453"/>
      <c r="D3176" s="453"/>
      <c r="E3176" s="453"/>
    </row>
    <row r="3177" spans="3:5" ht="15">
      <c r="C3177" s="453"/>
      <c r="D3177" s="453"/>
      <c r="E3177" s="453"/>
    </row>
    <row r="3178" spans="3:5" ht="15">
      <c r="C3178" s="453"/>
      <c r="D3178" s="453"/>
      <c r="E3178" s="453"/>
    </row>
    <row r="3179" spans="3:5" ht="15">
      <c r="C3179" s="453"/>
      <c r="D3179" s="453"/>
      <c r="E3179" s="453"/>
    </row>
    <row r="3180" spans="3:5" ht="15">
      <c r="C3180" s="453"/>
      <c r="D3180" s="453"/>
      <c r="E3180" s="453"/>
    </row>
    <row r="3181" spans="3:5" ht="15">
      <c r="C3181" s="453"/>
      <c r="D3181" s="453"/>
      <c r="E3181" s="453"/>
    </row>
    <row r="3182" spans="3:5" ht="15">
      <c r="C3182" s="453"/>
      <c r="D3182" s="453"/>
      <c r="E3182" s="453"/>
    </row>
    <row r="3183" spans="3:5" ht="15">
      <c r="C3183" s="453"/>
      <c r="D3183" s="453"/>
      <c r="E3183" s="453"/>
    </row>
    <row r="3184" spans="3:5" ht="15">
      <c r="C3184" s="453"/>
      <c r="D3184" s="453"/>
      <c r="E3184" s="453"/>
    </row>
    <row r="3185" spans="3:5" ht="15">
      <c r="C3185" s="453"/>
      <c r="D3185" s="453"/>
      <c r="E3185" s="453"/>
    </row>
    <row r="3186" spans="3:5" ht="15">
      <c r="C3186" s="453"/>
      <c r="D3186" s="453"/>
      <c r="E3186" s="453"/>
    </row>
    <row r="3187" spans="3:5" ht="15">
      <c r="C3187" s="453"/>
      <c r="D3187" s="453"/>
      <c r="E3187" s="453"/>
    </row>
    <row r="3188" spans="3:5" ht="15">
      <c r="C3188" s="453"/>
      <c r="D3188" s="453"/>
      <c r="E3188" s="453"/>
    </row>
    <row r="3189" spans="3:5" ht="15">
      <c r="C3189" s="453"/>
      <c r="D3189" s="453"/>
      <c r="E3189" s="453"/>
    </row>
    <row r="3190" spans="3:5" ht="15">
      <c r="C3190" s="453"/>
      <c r="D3190" s="453"/>
      <c r="E3190" s="453"/>
    </row>
    <row r="3191" spans="3:5" ht="15">
      <c r="C3191" s="453"/>
      <c r="D3191" s="453"/>
      <c r="E3191" s="453"/>
    </row>
    <row r="3192" spans="3:5" ht="15">
      <c r="C3192" s="453"/>
      <c r="D3192" s="453"/>
      <c r="E3192" s="453"/>
    </row>
    <row r="3193" spans="3:5" ht="15">
      <c r="C3193" s="453"/>
      <c r="D3193" s="453"/>
      <c r="E3193" s="453"/>
    </row>
    <row r="3194" spans="3:5" ht="15">
      <c r="C3194" s="453"/>
      <c r="D3194" s="453"/>
      <c r="E3194" s="453"/>
    </row>
    <row r="3195" spans="3:5" ht="15">
      <c r="C3195" s="453"/>
      <c r="D3195" s="453"/>
      <c r="E3195" s="453"/>
    </row>
    <row r="3196" spans="3:5" ht="15">
      <c r="C3196" s="453"/>
      <c r="D3196" s="453"/>
      <c r="E3196" s="453"/>
    </row>
    <row r="3197" spans="3:5" ht="15">
      <c r="C3197" s="453"/>
      <c r="D3197" s="453"/>
      <c r="E3197" s="453"/>
    </row>
    <row r="3198" spans="3:5" ht="15">
      <c r="C3198" s="453"/>
      <c r="D3198" s="453"/>
      <c r="E3198" s="453"/>
    </row>
    <row r="3199" spans="3:5" ht="15">
      <c r="C3199" s="453"/>
      <c r="D3199" s="453"/>
      <c r="E3199" s="453"/>
    </row>
    <row r="3200" spans="3:5" ht="15">
      <c r="C3200" s="453"/>
      <c r="D3200" s="453"/>
      <c r="E3200" s="453"/>
    </row>
    <row r="3201" spans="3:5" ht="15">
      <c r="C3201" s="453"/>
      <c r="D3201" s="453"/>
      <c r="E3201" s="453"/>
    </row>
    <row r="3202" spans="3:5" ht="15">
      <c r="C3202" s="453"/>
      <c r="D3202" s="453"/>
      <c r="E3202" s="453"/>
    </row>
    <row r="3203" spans="3:5" ht="15">
      <c r="C3203" s="453"/>
      <c r="D3203" s="453"/>
      <c r="E3203" s="453"/>
    </row>
    <row r="3204" spans="3:5" ht="15">
      <c r="C3204" s="453"/>
      <c r="D3204" s="453"/>
      <c r="E3204" s="453"/>
    </row>
    <row r="3205" spans="3:5" ht="15">
      <c r="C3205" s="453"/>
      <c r="D3205" s="453"/>
      <c r="E3205" s="453"/>
    </row>
    <row r="3206" spans="3:5" ht="15">
      <c r="C3206" s="453"/>
      <c r="D3206" s="453"/>
      <c r="E3206" s="453"/>
    </row>
    <row r="3207" spans="3:5" ht="15">
      <c r="C3207" s="453"/>
      <c r="D3207" s="453"/>
      <c r="E3207" s="453"/>
    </row>
    <row r="3208" spans="3:5" ht="15">
      <c r="C3208" s="453"/>
      <c r="D3208" s="453"/>
      <c r="E3208" s="453"/>
    </row>
    <row r="3209" spans="3:5" ht="15">
      <c r="C3209" s="453"/>
      <c r="D3209" s="453"/>
      <c r="E3209" s="453"/>
    </row>
    <row r="3210" spans="3:5" ht="15">
      <c r="C3210" s="453"/>
      <c r="D3210" s="453"/>
      <c r="E3210" s="453"/>
    </row>
    <row r="3211" spans="3:5" ht="15">
      <c r="C3211" s="453"/>
      <c r="D3211" s="453"/>
      <c r="E3211" s="453"/>
    </row>
  </sheetData>
  <mergeCells count="7">
    <mergeCell ref="A53:I53"/>
    <mergeCell ref="A4:A5"/>
    <mergeCell ref="A1:E1"/>
    <mergeCell ref="A2:E2"/>
    <mergeCell ref="B4:E4"/>
    <mergeCell ref="A6:E6"/>
    <mergeCell ref="A12:E12"/>
  </mergeCells>
  <printOptions horizontalCentered="1"/>
  <pageMargins left="0.24" right="0.25" top="0.48" bottom="0.55" header="0.21" footer="0.21"/>
  <pageSetup horizontalDpi="600" verticalDpi="600" orientation="portrait" paperSize="9" scale="85" r:id="rId1"/>
  <rowBreaks count="1" manualBreakCount="1">
    <brk id="5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J46"/>
  <sheetViews>
    <sheetView workbookViewId="0" topLeftCell="A1">
      <pane xSplit="1" ySplit="6" topLeftCell="B2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30" sqref="B30"/>
    </sheetView>
  </sheetViews>
  <sheetFormatPr defaultColWidth="9.140625" defaultRowHeight="16.5" customHeight="1"/>
  <cols>
    <col min="1" max="1" width="50.28125" style="323" customWidth="1"/>
    <col min="2" max="2" width="11.28125" style="324" customWidth="1"/>
    <col min="3" max="3" width="9.57421875" style="325" customWidth="1"/>
    <col min="4" max="4" width="11.00390625" style="324" customWidth="1"/>
    <col min="5" max="5" width="9.57421875" style="325" customWidth="1"/>
    <col min="6" max="6" width="9.57421875" style="324" customWidth="1"/>
    <col min="7" max="7" width="9.57421875" style="325" customWidth="1"/>
    <col min="8" max="8" width="9.57421875" style="324" customWidth="1"/>
    <col min="9" max="9" width="9.57421875" style="325" customWidth="1"/>
    <col min="10" max="10" width="9.57421875" style="324" customWidth="1"/>
    <col min="11" max="16384" width="10.28125" style="323" customWidth="1"/>
  </cols>
  <sheetData>
    <row r="1" spans="1:10" ht="16.5" customHeight="1">
      <c r="A1" s="900" t="s">
        <v>164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6.5" customHeight="1">
      <c r="A2" s="900" t="s">
        <v>65</v>
      </c>
      <c r="B2" s="900"/>
      <c r="C2" s="900"/>
      <c r="D2" s="900"/>
      <c r="E2" s="900"/>
      <c r="F2" s="900"/>
      <c r="G2" s="900"/>
      <c r="H2" s="900"/>
      <c r="I2" s="900"/>
      <c r="J2" s="900"/>
    </row>
    <row r="3" spans="8:10" ht="16.5" customHeight="1">
      <c r="H3" s="326"/>
      <c r="I3" s="327"/>
      <c r="J3" s="327" t="s">
        <v>11</v>
      </c>
    </row>
    <row r="4" spans="1:10" s="328" customFormat="1" ht="17.25" customHeight="1">
      <c r="A4" s="902" t="s">
        <v>165</v>
      </c>
      <c r="B4" s="905" t="s">
        <v>166</v>
      </c>
      <c r="C4" s="905"/>
      <c r="D4" s="905"/>
      <c r="E4" s="905"/>
      <c r="F4" s="905" t="s">
        <v>167</v>
      </c>
      <c r="G4" s="906"/>
      <c r="H4" s="907" t="s">
        <v>168</v>
      </c>
      <c r="I4" s="908"/>
      <c r="J4" s="909" t="s">
        <v>169</v>
      </c>
    </row>
    <row r="5" spans="1:10" s="322" customFormat="1" ht="17.25" customHeight="1">
      <c r="A5" s="903"/>
      <c r="B5" s="896" t="s">
        <v>170</v>
      </c>
      <c r="C5" s="896" t="s">
        <v>171</v>
      </c>
      <c r="D5" s="896" t="s">
        <v>172</v>
      </c>
      <c r="E5" s="896" t="s">
        <v>171</v>
      </c>
      <c r="F5" s="898" t="s">
        <v>173</v>
      </c>
      <c r="G5" s="896" t="s">
        <v>171</v>
      </c>
      <c r="H5" s="896" t="s">
        <v>174</v>
      </c>
      <c r="I5" s="896" t="s">
        <v>171</v>
      </c>
      <c r="J5" s="910"/>
    </row>
    <row r="6" spans="1:10" s="322" customFormat="1" ht="17.25" customHeight="1">
      <c r="A6" s="904"/>
      <c r="B6" s="897" t="s">
        <v>175</v>
      </c>
      <c r="C6" s="897"/>
      <c r="D6" s="897" t="s">
        <v>176</v>
      </c>
      <c r="E6" s="897"/>
      <c r="F6" s="899"/>
      <c r="G6" s="897"/>
      <c r="H6" s="897"/>
      <c r="I6" s="897"/>
      <c r="J6" s="911"/>
    </row>
    <row r="7" spans="1:10" ht="16.5" customHeight="1">
      <c r="A7" s="329" t="s">
        <v>177</v>
      </c>
      <c r="B7" s="330">
        <v>2627</v>
      </c>
      <c r="C7" s="331">
        <f aca="true" t="shared" si="0" ref="C7:C44">B7/J7*100</f>
        <v>0.3940911825285743</v>
      </c>
      <c r="D7" s="330">
        <v>565128</v>
      </c>
      <c r="E7" s="332">
        <f aca="true" t="shared" si="1" ref="E7:E44">D7/J7*100</f>
        <v>84.77805930719761</v>
      </c>
      <c r="F7" s="330">
        <v>58879</v>
      </c>
      <c r="G7" s="332">
        <f aca="true" t="shared" si="2" ref="G7:G44">(F7/J7)*100</f>
        <v>8.832773024781089</v>
      </c>
      <c r="H7" s="333">
        <f aca="true" t="shared" si="3" ref="H7:H22">J7-F7-D7-B7</f>
        <v>39963</v>
      </c>
      <c r="I7" s="332">
        <f aca="true" t="shared" si="4" ref="I7:I44">H7/J7*100</f>
        <v>5.995076485492734</v>
      </c>
      <c r="J7" s="334">
        <v>666597</v>
      </c>
    </row>
    <row r="8" spans="1:10" s="328" customFormat="1" ht="16.5" customHeight="1">
      <c r="A8" s="335" t="s">
        <v>178</v>
      </c>
      <c r="B8" s="336">
        <f>SUM(B7:B7)</f>
        <v>2627</v>
      </c>
      <c r="C8" s="337">
        <f t="shared" si="0"/>
        <v>0.3940911825285743</v>
      </c>
      <c r="D8" s="336">
        <f>SUM(D7:D7)</f>
        <v>565128</v>
      </c>
      <c r="E8" s="338">
        <f t="shared" si="1"/>
        <v>84.77805930719761</v>
      </c>
      <c r="F8" s="336">
        <f>SUM(F7:F7)</f>
        <v>58879</v>
      </c>
      <c r="G8" s="338">
        <f t="shared" si="2"/>
        <v>8.832773024781089</v>
      </c>
      <c r="H8" s="336">
        <f t="shared" si="3"/>
        <v>39963</v>
      </c>
      <c r="I8" s="338">
        <f t="shared" si="4"/>
        <v>5.995076485492734</v>
      </c>
      <c r="J8" s="339">
        <f>SUM(J7:J7)</f>
        <v>666597</v>
      </c>
    </row>
    <row r="9" spans="1:10" ht="25.5">
      <c r="A9" s="340" t="s">
        <v>179</v>
      </c>
      <c r="B9" s="341">
        <v>822.9</v>
      </c>
      <c r="C9" s="342">
        <f t="shared" si="0"/>
        <v>0.21378412713258044</v>
      </c>
      <c r="D9" s="341">
        <v>186953</v>
      </c>
      <c r="E9" s="343">
        <f t="shared" si="1"/>
        <v>48.56918692407014</v>
      </c>
      <c r="F9" s="341">
        <f>SUM('[5]2.sz.melléklet'!$H$114:$H$116,'[5]2.sz.melléklet'!$H$121)</f>
        <v>32831</v>
      </c>
      <c r="G9" s="343">
        <f t="shared" si="2"/>
        <v>8.529282632020596</v>
      </c>
      <c r="H9" s="341">
        <f t="shared" si="3"/>
        <v>164314.1</v>
      </c>
      <c r="I9" s="343">
        <f t="shared" si="4"/>
        <v>42.68774631677669</v>
      </c>
      <c r="J9" s="344">
        <v>384921</v>
      </c>
    </row>
    <row r="10" spans="1:10" ht="16.5" customHeight="1">
      <c r="A10" s="345" t="s">
        <v>180</v>
      </c>
      <c r="B10" s="346">
        <v>375</v>
      </c>
      <c r="C10" s="347">
        <f t="shared" si="0"/>
        <v>0.30654535645094044</v>
      </c>
      <c r="D10" s="346">
        <v>41780</v>
      </c>
      <c r="E10" s="348">
        <f t="shared" si="1"/>
        <v>34.15323998005412</v>
      </c>
      <c r="F10" s="346">
        <v>6442</v>
      </c>
      <c r="G10" s="348">
        <f t="shared" si="2"/>
        <v>5.266040496685223</v>
      </c>
      <c r="H10" s="346">
        <f t="shared" si="3"/>
        <v>73734</v>
      </c>
      <c r="I10" s="348">
        <f t="shared" si="4"/>
        <v>60.27417416680972</v>
      </c>
      <c r="J10" s="349">
        <v>122331</v>
      </c>
    </row>
    <row r="11" spans="1:10" ht="16.5" customHeight="1">
      <c r="A11" s="350" t="s">
        <v>181</v>
      </c>
      <c r="B11" s="346">
        <v>604</v>
      </c>
      <c r="C11" s="347">
        <f t="shared" si="0"/>
        <v>0.23833199172940636</v>
      </c>
      <c r="D11" s="346">
        <v>159498</v>
      </c>
      <c r="E11" s="348">
        <f t="shared" si="1"/>
        <v>62.93621857095506</v>
      </c>
      <c r="F11" s="346">
        <v>24966</v>
      </c>
      <c r="G11" s="348">
        <f t="shared" si="2"/>
        <v>9.851318717742318</v>
      </c>
      <c r="H11" s="346">
        <f t="shared" si="3"/>
        <v>68360</v>
      </c>
      <c r="I11" s="348">
        <f t="shared" si="4"/>
        <v>26.974130719573214</v>
      </c>
      <c r="J11" s="349">
        <v>253428</v>
      </c>
    </row>
    <row r="12" spans="1:10" ht="16.5" customHeight="1">
      <c r="A12" s="350" t="s">
        <v>182</v>
      </c>
      <c r="B12" s="346">
        <v>432.9</v>
      </c>
      <c r="C12" s="347">
        <f t="shared" si="0"/>
        <v>0.20639839801659196</v>
      </c>
      <c r="D12" s="346">
        <v>105686</v>
      </c>
      <c r="E12" s="348">
        <f t="shared" si="1"/>
        <v>50.389053113378466</v>
      </c>
      <c r="F12" s="346">
        <v>38072</v>
      </c>
      <c r="G12" s="348">
        <f t="shared" si="2"/>
        <v>18.151997711452275</v>
      </c>
      <c r="H12" s="346">
        <f t="shared" si="3"/>
        <v>65549.1</v>
      </c>
      <c r="I12" s="348">
        <f t="shared" si="4"/>
        <v>31.252550777152667</v>
      </c>
      <c r="J12" s="349">
        <v>209740</v>
      </c>
    </row>
    <row r="13" spans="1:10" ht="16.5" customHeight="1">
      <c r="A13" s="350" t="s">
        <v>183</v>
      </c>
      <c r="B13" s="346">
        <v>430.95</v>
      </c>
      <c r="C13" s="347">
        <f t="shared" si="0"/>
        <v>0.20303217326165923</v>
      </c>
      <c r="D13" s="346">
        <v>116975</v>
      </c>
      <c r="E13" s="348">
        <f t="shared" si="1"/>
        <v>55.11007881954423</v>
      </c>
      <c r="F13" s="346">
        <v>26555</v>
      </c>
      <c r="G13" s="348">
        <f t="shared" si="2"/>
        <v>12.510777029732825</v>
      </c>
      <c r="H13" s="346">
        <f t="shared" si="3"/>
        <v>68296.05</v>
      </c>
      <c r="I13" s="348">
        <f t="shared" si="4"/>
        <v>32.17611197746129</v>
      </c>
      <c r="J13" s="349">
        <v>212257</v>
      </c>
    </row>
    <row r="14" spans="1:10" ht="25.5" customHeight="1">
      <c r="A14" s="440" t="s">
        <v>239</v>
      </c>
      <c r="B14" s="346">
        <v>534.69</v>
      </c>
      <c r="C14" s="347">
        <f t="shared" si="0"/>
        <v>0.1982756702636556</v>
      </c>
      <c r="D14" s="346">
        <v>129293</v>
      </c>
      <c r="E14" s="348">
        <f t="shared" si="1"/>
        <v>47.944895613156824</v>
      </c>
      <c r="F14" s="346">
        <v>34261</v>
      </c>
      <c r="G14" s="348">
        <f t="shared" si="2"/>
        <v>12.704787332665852</v>
      </c>
      <c r="H14" s="346">
        <f t="shared" si="3"/>
        <v>105581.31</v>
      </c>
      <c r="I14" s="348">
        <f t="shared" si="4"/>
        <v>39.15204138391367</v>
      </c>
      <c r="J14" s="349">
        <v>269670</v>
      </c>
    </row>
    <row r="15" spans="1:10" ht="16.5" customHeight="1">
      <c r="A15" s="350" t="s">
        <v>185</v>
      </c>
      <c r="B15" s="346">
        <v>422.76</v>
      </c>
      <c r="C15" s="347">
        <f t="shared" si="0"/>
        <v>0.22553815785963882</v>
      </c>
      <c r="D15" s="346">
        <v>73937</v>
      </c>
      <c r="E15" s="348">
        <f t="shared" si="1"/>
        <v>39.44463709354744</v>
      </c>
      <c r="F15" s="346">
        <v>4454</v>
      </c>
      <c r="G15" s="348">
        <f t="shared" si="2"/>
        <v>2.3761636746779056</v>
      </c>
      <c r="H15" s="346">
        <f t="shared" si="3"/>
        <v>108631.24</v>
      </c>
      <c r="I15" s="348">
        <f t="shared" si="4"/>
        <v>57.95366107391502</v>
      </c>
      <c r="J15" s="349">
        <v>187445</v>
      </c>
    </row>
    <row r="16" spans="1:10" ht="16.5" customHeight="1">
      <c r="A16" s="352" t="s">
        <v>186</v>
      </c>
      <c r="B16" s="346">
        <v>423.54</v>
      </c>
      <c r="C16" s="347">
        <f t="shared" si="0"/>
        <v>0.23413453033787368</v>
      </c>
      <c r="D16" s="346">
        <v>118315</v>
      </c>
      <c r="E16" s="348">
        <f t="shared" si="1"/>
        <v>65.40498407924996</v>
      </c>
      <c r="F16" s="346">
        <v>16934</v>
      </c>
      <c r="G16" s="348">
        <f t="shared" si="2"/>
        <v>9.3611799044755</v>
      </c>
      <c r="H16" s="346">
        <f t="shared" si="3"/>
        <v>45223.46</v>
      </c>
      <c r="I16" s="348">
        <f t="shared" si="4"/>
        <v>24.999701485936672</v>
      </c>
      <c r="J16" s="349">
        <v>180896</v>
      </c>
    </row>
    <row r="17" spans="1:10" ht="25.5">
      <c r="A17" s="340" t="s">
        <v>187</v>
      </c>
      <c r="B17" s="346">
        <v>784.68</v>
      </c>
      <c r="C17" s="347">
        <f t="shared" si="0"/>
        <v>0.22959703186994532</v>
      </c>
      <c r="D17" s="353">
        <v>197774</v>
      </c>
      <c r="E17" s="348">
        <f t="shared" si="1"/>
        <v>57.86858768038764</v>
      </c>
      <c r="F17" s="346">
        <v>34583</v>
      </c>
      <c r="G17" s="348">
        <f t="shared" si="2"/>
        <v>10.118970985826477</v>
      </c>
      <c r="H17" s="346">
        <f t="shared" si="3"/>
        <v>108622.32</v>
      </c>
      <c r="I17" s="348">
        <f t="shared" si="4"/>
        <v>31.782844301915947</v>
      </c>
      <c r="J17" s="349">
        <v>341764</v>
      </c>
    </row>
    <row r="18" spans="1:10" ht="16.5" customHeight="1">
      <c r="A18" s="340" t="s">
        <v>188</v>
      </c>
      <c r="B18" s="346">
        <v>637.65</v>
      </c>
      <c r="C18" s="347">
        <f t="shared" si="0"/>
        <v>0.2829158994609224</v>
      </c>
      <c r="D18" s="346">
        <v>110234</v>
      </c>
      <c r="E18" s="348">
        <f t="shared" si="1"/>
        <v>48.909199813652194</v>
      </c>
      <c r="F18" s="346">
        <v>7790</v>
      </c>
      <c r="G18" s="348">
        <f t="shared" si="2"/>
        <v>3.4563080950373806</v>
      </c>
      <c r="H18" s="346">
        <f t="shared" si="3"/>
        <v>106723.35</v>
      </c>
      <c r="I18" s="348">
        <f t="shared" si="4"/>
        <v>47.3515761918495</v>
      </c>
      <c r="J18" s="349">
        <v>225385</v>
      </c>
    </row>
    <row r="19" spans="1:10" ht="25.5">
      <c r="A19" s="354" t="s">
        <v>189</v>
      </c>
      <c r="B19" s="346">
        <v>493.74</v>
      </c>
      <c r="C19" s="347">
        <f t="shared" si="0"/>
        <v>0.2099029431645715</v>
      </c>
      <c r="D19" s="346">
        <v>115611</v>
      </c>
      <c r="E19" s="348">
        <f t="shared" si="1"/>
        <v>49.14953044557718</v>
      </c>
      <c r="F19" s="346">
        <v>27485</v>
      </c>
      <c r="G19" s="348">
        <f t="shared" si="2"/>
        <v>11.684656687483793</v>
      </c>
      <c r="H19" s="346">
        <f t="shared" si="3"/>
        <v>91633.26</v>
      </c>
      <c r="I19" s="348">
        <f t="shared" si="4"/>
        <v>38.955909923774456</v>
      </c>
      <c r="J19" s="349">
        <v>235223</v>
      </c>
    </row>
    <row r="20" spans="1:10" ht="25.5">
      <c r="A20" s="340" t="s">
        <v>190</v>
      </c>
      <c r="B20" s="346">
        <v>645.06</v>
      </c>
      <c r="C20" s="347">
        <f t="shared" si="0"/>
        <v>0.21865995945845165</v>
      </c>
      <c r="D20" s="346">
        <v>168638</v>
      </c>
      <c r="E20" s="348">
        <f t="shared" si="1"/>
        <v>57.16426106587663</v>
      </c>
      <c r="F20" s="346">
        <v>31540</v>
      </c>
      <c r="G20" s="348">
        <f t="shared" si="2"/>
        <v>10.691307973397151</v>
      </c>
      <c r="H20" s="346">
        <f t="shared" si="3"/>
        <v>94182.94</v>
      </c>
      <c r="I20" s="348">
        <f t="shared" si="4"/>
        <v>31.925771001267773</v>
      </c>
      <c r="J20" s="349">
        <v>295006</v>
      </c>
    </row>
    <row r="21" spans="1:10" ht="16.5" customHeight="1">
      <c r="A21" s="350" t="s">
        <v>191</v>
      </c>
      <c r="B21" s="346">
        <v>943.8</v>
      </c>
      <c r="C21" s="347">
        <f t="shared" si="0"/>
        <v>0.22857225891293764</v>
      </c>
      <c r="D21" s="346">
        <v>234244</v>
      </c>
      <c r="E21" s="348">
        <f t="shared" si="1"/>
        <v>56.72990063233966</v>
      </c>
      <c r="F21" s="346">
        <v>34291</v>
      </c>
      <c r="G21" s="348">
        <f t="shared" si="2"/>
        <v>8.304695200660674</v>
      </c>
      <c r="H21" s="346">
        <f t="shared" si="3"/>
        <v>143432.2</v>
      </c>
      <c r="I21" s="348">
        <f t="shared" si="4"/>
        <v>34.736831908086735</v>
      </c>
      <c r="J21" s="349">
        <v>412911</v>
      </c>
    </row>
    <row r="22" spans="1:10" ht="16.5" customHeight="1">
      <c r="A22" s="355" t="s">
        <v>192</v>
      </c>
      <c r="B22" s="333">
        <v>28200</v>
      </c>
      <c r="C22" s="331">
        <f t="shared" si="0"/>
        <v>20.80950448289857</v>
      </c>
      <c r="D22" s="333">
        <v>3460</v>
      </c>
      <c r="E22" s="332">
        <f t="shared" si="1"/>
        <v>2.553222890454931</v>
      </c>
      <c r="F22" s="333">
        <v>2258</v>
      </c>
      <c r="G22" s="332">
        <f t="shared" si="2"/>
        <v>1.6662362100136516</v>
      </c>
      <c r="H22" s="346">
        <f t="shared" si="3"/>
        <v>101597</v>
      </c>
      <c r="I22" s="332">
        <f t="shared" si="4"/>
        <v>74.97103641663284</v>
      </c>
      <c r="J22" s="356">
        <v>135515</v>
      </c>
    </row>
    <row r="23" spans="1:10" s="328" customFormat="1" ht="16.5" customHeight="1">
      <c r="A23" s="335" t="s">
        <v>193</v>
      </c>
      <c r="B23" s="336">
        <f>SUM(B9:B22)</f>
        <v>35751.67</v>
      </c>
      <c r="C23" s="337">
        <f t="shared" si="0"/>
        <v>1.0313501372569156</v>
      </c>
      <c r="D23" s="336">
        <f>SUM(D9:D22)</f>
        <v>1762398</v>
      </c>
      <c r="E23" s="338">
        <f t="shared" si="1"/>
        <v>50.84096544864376</v>
      </c>
      <c r="F23" s="336">
        <f>SUM(F9:F22)</f>
        <v>322462</v>
      </c>
      <c r="G23" s="338">
        <f t="shared" si="2"/>
        <v>9.302257152187284</v>
      </c>
      <c r="H23" s="336">
        <f aca="true" t="shared" si="5" ref="H23:H42">J23-F23-D23-B23</f>
        <v>1345880.33</v>
      </c>
      <c r="I23" s="338">
        <f t="shared" si="4"/>
        <v>38.82542726191204</v>
      </c>
      <c r="J23" s="339">
        <f>SUM(J9:J22)</f>
        <v>3466492</v>
      </c>
    </row>
    <row r="24" spans="1:10" ht="16.5" customHeight="1">
      <c r="A24" s="357" t="s">
        <v>194</v>
      </c>
      <c r="B24" s="341">
        <v>513.63</v>
      </c>
      <c r="C24" s="342">
        <f t="shared" si="0"/>
        <v>0.2039452524747168</v>
      </c>
      <c r="D24" s="341">
        <v>148821</v>
      </c>
      <c r="E24" s="343">
        <f t="shared" si="1"/>
        <v>59.09182956318717</v>
      </c>
      <c r="F24" s="341">
        <v>30506</v>
      </c>
      <c r="G24" s="343">
        <f t="shared" si="2"/>
        <v>12.112909822233341</v>
      </c>
      <c r="H24" s="341">
        <f t="shared" si="5"/>
        <v>72006.37</v>
      </c>
      <c r="I24" s="343">
        <f t="shared" si="4"/>
        <v>28.59131536210477</v>
      </c>
      <c r="J24" s="344">
        <v>251847</v>
      </c>
    </row>
    <row r="25" spans="1:10" ht="16.5" customHeight="1">
      <c r="A25" s="358" t="s">
        <v>195</v>
      </c>
      <c r="B25" s="346">
        <v>553.293</v>
      </c>
      <c r="C25" s="347">
        <f t="shared" si="0"/>
        <v>0.1732001264661781</v>
      </c>
      <c r="D25" s="346">
        <v>186883</v>
      </c>
      <c r="E25" s="348">
        <f t="shared" si="1"/>
        <v>58.50093754010762</v>
      </c>
      <c r="F25" s="346">
        <v>17936</v>
      </c>
      <c r="G25" s="348">
        <f t="shared" si="2"/>
        <v>5.614597452520402</v>
      </c>
      <c r="H25" s="346">
        <f t="shared" si="5"/>
        <v>114080.707</v>
      </c>
      <c r="I25" s="348">
        <f t="shared" si="4"/>
        <v>35.711264880905794</v>
      </c>
      <c r="J25" s="349">
        <v>319453</v>
      </c>
    </row>
    <row r="26" spans="1:10" ht="16.5" customHeight="1">
      <c r="A26" s="340" t="s">
        <v>196</v>
      </c>
      <c r="B26" s="346">
        <v>637.65</v>
      </c>
      <c r="C26" s="347">
        <f t="shared" si="0"/>
        <v>0.21129140751589698</v>
      </c>
      <c r="D26" s="346">
        <v>185058</v>
      </c>
      <c r="E26" s="348">
        <f t="shared" si="1"/>
        <v>61.32073283474768</v>
      </c>
      <c r="F26" s="346">
        <v>56689</v>
      </c>
      <c r="G26" s="348">
        <f t="shared" si="2"/>
        <v>18.784440681672834</v>
      </c>
      <c r="H26" s="346">
        <f t="shared" si="5"/>
        <v>59402.35</v>
      </c>
      <c r="I26" s="348">
        <f t="shared" si="4"/>
        <v>19.68353507606358</v>
      </c>
      <c r="J26" s="349">
        <v>301787</v>
      </c>
    </row>
    <row r="27" spans="1:10" ht="16.5" customHeight="1">
      <c r="A27" s="354" t="s">
        <v>197</v>
      </c>
      <c r="B27" s="346">
        <v>677.625</v>
      </c>
      <c r="C27" s="347">
        <f t="shared" si="0"/>
        <v>0.2082097875883768</v>
      </c>
      <c r="D27" s="346">
        <v>201976</v>
      </c>
      <c r="E27" s="348">
        <f t="shared" si="1"/>
        <v>62.05995950260099</v>
      </c>
      <c r="F27" s="346">
        <v>28968</v>
      </c>
      <c r="G27" s="348">
        <f t="shared" si="2"/>
        <v>8.900824389389559</v>
      </c>
      <c r="H27" s="346">
        <f t="shared" si="5"/>
        <v>93831.375</v>
      </c>
      <c r="I27" s="348">
        <f t="shared" si="4"/>
        <v>28.831006320421075</v>
      </c>
      <c r="J27" s="349">
        <v>325453</v>
      </c>
    </row>
    <row r="28" spans="1:10" ht="25.5">
      <c r="A28" s="359" t="s">
        <v>198</v>
      </c>
      <c r="B28" s="333">
        <v>351</v>
      </c>
      <c r="C28" s="331">
        <f t="shared" si="0"/>
        <v>0.18414660378051403</v>
      </c>
      <c r="D28" s="333">
        <v>114299</v>
      </c>
      <c r="E28" s="332">
        <f t="shared" si="1"/>
        <v>59.96516428919936</v>
      </c>
      <c r="F28" s="333">
        <v>17182</v>
      </c>
      <c r="G28" s="332">
        <f t="shared" si="2"/>
        <v>9.014264803865505</v>
      </c>
      <c r="H28" s="333">
        <f t="shared" si="5"/>
        <v>58777</v>
      </c>
      <c r="I28" s="332">
        <f t="shared" si="4"/>
        <v>30.836424303154626</v>
      </c>
      <c r="J28" s="356">
        <v>190609</v>
      </c>
    </row>
    <row r="29" spans="1:10" s="328" customFormat="1" ht="16.5" customHeight="1">
      <c r="A29" s="360" t="s">
        <v>199</v>
      </c>
      <c r="B29" s="361">
        <f>SUM(B24:B28)</f>
        <v>2733.198</v>
      </c>
      <c r="C29" s="337">
        <f t="shared" si="0"/>
        <v>0.19675340802174568</v>
      </c>
      <c r="D29" s="336">
        <f>SUM(D24:D28)</f>
        <v>837037</v>
      </c>
      <c r="E29" s="338">
        <f t="shared" si="1"/>
        <v>60.25537937255111</v>
      </c>
      <c r="F29" s="336">
        <f>SUM(F24:F28)</f>
        <v>151281</v>
      </c>
      <c r="G29" s="338">
        <f t="shared" si="2"/>
        <v>10.890192484751456</v>
      </c>
      <c r="H29" s="336">
        <f t="shared" si="5"/>
        <v>398097.802</v>
      </c>
      <c r="I29" s="338">
        <f t="shared" si="4"/>
        <v>28.65767473467569</v>
      </c>
      <c r="J29" s="339">
        <f>SUM(J24:J28)</f>
        <v>1389149</v>
      </c>
    </row>
    <row r="30" spans="1:10" ht="25.5" customHeight="1">
      <c r="A30" s="446" t="s">
        <v>352</v>
      </c>
      <c r="B30" s="341">
        <v>561.288</v>
      </c>
      <c r="C30" s="342">
        <f t="shared" si="0"/>
        <v>0.19897902752371632</v>
      </c>
      <c r="D30" s="341">
        <v>191855</v>
      </c>
      <c r="E30" s="343">
        <f t="shared" si="1"/>
        <v>68.01342862409778</v>
      </c>
      <c r="F30" s="341">
        <v>30287</v>
      </c>
      <c r="G30" s="343">
        <f t="shared" si="2"/>
        <v>10.736872704584451</v>
      </c>
      <c r="H30" s="341">
        <f t="shared" si="5"/>
        <v>59380.712</v>
      </c>
      <c r="I30" s="343">
        <f t="shared" si="4"/>
        <v>21.050719643794046</v>
      </c>
      <c r="J30" s="344">
        <v>282084</v>
      </c>
    </row>
    <row r="31" spans="1:10" ht="16.5" customHeight="1">
      <c r="A31" s="358" t="s">
        <v>201</v>
      </c>
      <c r="B31" s="346">
        <v>1061.697</v>
      </c>
      <c r="C31" s="347">
        <f t="shared" si="0"/>
        <v>0.1677471698411319</v>
      </c>
      <c r="D31" s="346">
        <v>337681</v>
      </c>
      <c r="E31" s="348">
        <f t="shared" si="1"/>
        <v>53.35329388622485</v>
      </c>
      <c r="F31" s="346">
        <v>167442</v>
      </c>
      <c r="G31" s="348">
        <f t="shared" si="2"/>
        <v>26.45568520259435</v>
      </c>
      <c r="H31" s="346">
        <f t="shared" si="5"/>
        <v>126730.303</v>
      </c>
      <c r="I31" s="348">
        <f t="shared" si="4"/>
        <v>20.023273741339676</v>
      </c>
      <c r="J31" s="349">
        <v>632915</v>
      </c>
    </row>
    <row r="32" spans="1:10" ht="16.5" customHeight="1">
      <c r="A32" s="358" t="s">
        <v>202</v>
      </c>
      <c r="B32" s="346">
        <v>608.4</v>
      </c>
      <c r="C32" s="347">
        <f t="shared" si="0"/>
        <v>0.18827519619736094</v>
      </c>
      <c r="D32" s="346">
        <v>161274</v>
      </c>
      <c r="E32" s="348">
        <f t="shared" si="1"/>
        <v>49.907781051172236</v>
      </c>
      <c r="F32" s="346">
        <v>55048</v>
      </c>
      <c r="G32" s="348">
        <f t="shared" si="2"/>
        <v>17.035129849231303</v>
      </c>
      <c r="H32" s="346">
        <f t="shared" si="5"/>
        <v>106213.6</v>
      </c>
      <c r="I32" s="348">
        <f t="shared" si="4"/>
        <v>32.86881390339911</v>
      </c>
      <c r="J32" s="349">
        <v>323144</v>
      </c>
    </row>
    <row r="33" spans="1:10" ht="25.5">
      <c r="A33" s="340" t="s">
        <v>203</v>
      </c>
      <c r="B33" s="346">
        <v>936</v>
      </c>
      <c r="C33" s="347">
        <f t="shared" si="0"/>
        <v>0.1904711515568371</v>
      </c>
      <c r="D33" s="346">
        <v>316293</v>
      </c>
      <c r="E33" s="348">
        <f t="shared" si="1"/>
        <v>64.363987114708</v>
      </c>
      <c r="F33" s="346">
        <v>49020</v>
      </c>
      <c r="G33" s="348">
        <f t="shared" si="2"/>
        <v>9.975316078329225</v>
      </c>
      <c r="H33" s="346">
        <f t="shared" si="5"/>
        <v>125164</v>
      </c>
      <c r="I33" s="348">
        <f t="shared" si="4"/>
        <v>25.470225655405944</v>
      </c>
      <c r="J33" s="349">
        <v>491413</v>
      </c>
    </row>
    <row r="34" spans="1:10" ht="12.75">
      <c r="A34" s="354" t="s">
        <v>204</v>
      </c>
      <c r="B34" s="346">
        <v>695.019</v>
      </c>
      <c r="C34" s="347">
        <f t="shared" si="0"/>
        <v>0.18417344159079105</v>
      </c>
      <c r="D34" s="346">
        <v>239057</v>
      </c>
      <c r="E34" s="348">
        <f t="shared" si="1"/>
        <v>63.34783714743012</v>
      </c>
      <c r="F34" s="346">
        <v>56731</v>
      </c>
      <c r="G34" s="348">
        <f t="shared" si="2"/>
        <v>15.03317681227012</v>
      </c>
      <c r="H34" s="346">
        <f t="shared" si="5"/>
        <v>80888.981</v>
      </c>
      <c r="I34" s="348">
        <f t="shared" si="4"/>
        <v>21.434812598708966</v>
      </c>
      <c r="J34" s="349">
        <v>377372</v>
      </c>
    </row>
    <row r="35" spans="1:10" ht="16.5" customHeight="1">
      <c r="A35" s="355" t="s">
        <v>205</v>
      </c>
      <c r="B35" s="333">
        <v>594.75</v>
      </c>
      <c r="C35" s="331">
        <f t="shared" si="0"/>
        <v>0.21705966722992084</v>
      </c>
      <c r="D35" s="333">
        <v>189141</v>
      </c>
      <c r="E35" s="332">
        <f t="shared" si="1"/>
        <v>69.02880625394613</v>
      </c>
      <c r="F35" s="333">
        <v>49101</v>
      </c>
      <c r="G35" s="332">
        <f t="shared" si="2"/>
        <v>17.919876789670187</v>
      </c>
      <c r="H35" s="333">
        <f t="shared" si="5"/>
        <v>35166.25</v>
      </c>
      <c r="I35" s="332">
        <f t="shared" si="4"/>
        <v>12.834257289153769</v>
      </c>
      <c r="J35" s="356">
        <v>274003</v>
      </c>
    </row>
    <row r="36" spans="1:10" s="328" customFormat="1" ht="16.5" customHeight="1">
      <c r="A36" s="335" t="s">
        <v>206</v>
      </c>
      <c r="B36" s="336">
        <f>SUM(B30:B35)</f>
        <v>4457.1539999999995</v>
      </c>
      <c r="C36" s="337">
        <f t="shared" si="0"/>
        <v>0.1872021490752987</v>
      </c>
      <c r="D36" s="336">
        <f>SUM(D30:D35)</f>
        <v>1435301</v>
      </c>
      <c r="E36" s="338">
        <f t="shared" si="1"/>
        <v>60.283183342986426</v>
      </c>
      <c r="F36" s="336">
        <f>SUM(F30:F35)</f>
        <v>407629</v>
      </c>
      <c r="G36" s="338">
        <f t="shared" si="2"/>
        <v>17.12057174273425</v>
      </c>
      <c r="H36" s="336">
        <f t="shared" si="5"/>
        <v>533543.846</v>
      </c>
      <c r="I36" s="338">
        <f t="shared" si="4"/>
        <v>22.40904276520403</v>
      </c>
      <c r="J36" s="339">
        <f>SUM(J30:J35)</f>
        <v>2380931</v>
      </c>
    </row>
    <row r="37" spans="1:10" ht="16.5" customHeight="1">
      <c r="A37" s="362" t="s">
        <v>207</v>
      </c>
      <c r="B37" s="330">
        <v>575</v>
      </c>
      <c r="C37" s="363">
        <f t="shared" si="0"/>
        <v>0.10418535208307288</v>
      </c>
      <c r="D37" s="330">
        <v>350604</v>
      </c>
      <c r="E37" s="364">
        <f t="shared" si="1"/>
        <v>63.526610750841186</v>
      </c>
      <c r="F37" s="330">
        <v>76781</v>
      </c>
      <c r="G37" s="364">
        <f t="shared" si="2"/>
        <v>13.912096553548553</v>
      </c>
      <c r="H37" s="330">
        <f t="shared" si="5"/>
        <v>123941</v>
      </c>
      <c r="I37" s="364">
        <f t="shared" si="4"/>
        <v>22.45710734352719</v>
      </c>
      <c r="J37" s="334">
        <v>551901</v>
      </c>
    </row>
    <row r="38" spans="1:10" s="328" customFormat="1" ht="16.5" customHeight="1">
      <c r="A38" s="335" t="s">
        <v>208</v>
      </c>
      <c r="B38" s="336">
        <f>SUM(B37)</f>
        <v>575</v>
      </c>
      <c r="C38" s="337">
        <f t="shared" si="0"/>
        <v>0.10418535208307288</v>
      </c>
      <c r="D38" s="336">
        <f>SUM(D37)</f>
        <v>350604</v>
      </c>
      <c r="E38" s="338">
        <f t="shared" si="1"/>
        <v>63.526610750841186</v>
      </c>
      <c r="F38" s="336">
        <f>SUM(F37)</f>
        <v>76781</v>
      </c>
      <c r="G38" s="338">
        <f t="shared" si="2"/>
        <v>13.912096553548553</v>
      </c>
      <c r="H38" s="336">
        <f t="shared" si="5"/>
        <v>123941</v>
      </c>
      <c r="I38" s="338">
        <f t="shared" si="4"/>
        <v>22.45710734352719</v>
      </c>
      <c r="J38" s="339">
        <f>SUM(J37)</f>
        <v>551901</v>
      </c>
    </row>
    <row r="39" spans="1:10" s="328" customFormat="1" ht="16.5" customHeight="1">
      <c r="A39" s="357" t="s">
        <v>209</v>
      </c>
      <c r="B39" s="341">
        <v>1240.8</v>
      </c>
      <c r="C39" s="342">
        <f t="shared" si="0"/>
        <v>0.24273250127156773</v>
      </c>
      <c r="D39" s="341">
        <v>189086</v>
      </c>
      <c r="E39" s="343">
        <f t="shared" si="1"/>
        <v>36.990101334168</v>
      </c>
      <c r="F39" s="341">
        <v>139855</v>
      </c>
      <c r="G39" s="343">
        <f t="shared" si="2"/>
        <v>27.359247231894834</v>
      </c>
      <c r="H39" s="333">
        <f t="shared" si="5"/>
        <v>180998.2</v>
      </c>
      <c r="I39" s="343">
        <f t="shared" si="4"/>
        <v>35.4079189326656</v>
      </c>
      <c r="J39" s="344">
        <v>511180</v>
      </c>
    </row>
    <row r="40" spans="1:10" s="328" customFormat="1" ht="16.5" customHeight="1">
      <c r="A40" s="358" t="s">
        <v>210</v>
      </c>
      <c r="B40" s="346">
        <v>1090.4</v>
      </c>
      <c r="C40" s="347">
        <f t="shared" si="0"/>
        <v>0.1767106282432332</v>
      </c>
      <c r="D40" s="346">
        <v>212989</v>
      </c>
      <c r="E40" s="348">
        <f t="shared" si="1"/>
        <v>34.51707630126375</v>
      </c>
      <c r="F40" s="346">
        <v>101171</v>
      </c>
      <c r="G40" s="348">
        <f t="shared" si="2"/>
        <v>16.395809767054423</v>
      </c>
      <c r="H40" s="333">
        <f t="shared" si="5"/>
        <v>301803.6</v>
      </c>
      <c r="I40" s="348">
        <f t="shared" si="4"/>
        <v>48.91040330343859</v>
      </c>
      <c r="J40" s="349">
        <v>617054</v>
      </c>
    </row>
    <row r="41" spans="1:10" s="328" customFormat="1" ht="25.5">
      <c r="A41" s="365" t="s">
        <v>211</v>
      </c>
      <c r="B41" s="346">
        <v>263.2</v>
      </c>
      <c r="C41" s="347">
        <f t="shared" si="0"/>
        <v>0.18844958687153637</v>
      </c>
      <c r="D41" s="346">
        <v>44372</v>
      </c>
      <c r="E41" s="348">
        <f t="shared" si="1"/>
        <v>31.770080048114792</v>
      </c>
      <c r="F41" s="346">
        <v>36550</v>
      </c>
      <c r="G41" s="348">
        <f t="shared" si="2"/>
        <v>26.16957598842954</v>
      </c>
      <c r="H41" s="333">
        <f t="shared" si="5"/>
        <v>58480.8</v>
      </c>
      <c r="I41" s="348">
        <f t="shared" si="4"/>
        <v>41.87189437658414</v>
      </c>
      <c r="J41" s="349">
        <v>139666</v>
      </c>
    </row>
    <row r="42" spans="1:10" s="328" customFormat="1" ht="16.5" customHeight="1">
      <c r="A42" s="355" t="s">
        <v>212</v>
      </c>
      <c r="B42" s="333">
        <v>507.6</v>
      </c>
      <c r="C42" s="331">
        <f t="shared" si="0"/>
        <v>0.2540464250322813</v>
      </c>
      <c r="D42" s="333">
        <v>67870</v>
      </c>
      <c r="E42" s="332">
        <f t="shared" si="1"/>
        <v>33.96794891044313</v>
      </c>
      <c r="F42" s="333">
        <v>23585</v>
      </c>
      <c r="G42" s="332">
        <f t="shared" si="2"/>
        <v>11.803949831336396</v>
      </c>
      <c r="H42" s="333">
        <f t="shared" si="5"/>
        <v>107843.4</v>
      </c>
      <c r="I42" s="332">
        <f t="shared" si="4"/>
        <v>53.97405483318819</v>
      </c>
      <c r="J42" s="356">
        <v>199806</v>
      </c>
    </row>
    <row r="43" spans="1:10" s="328" customFormat="1" ht="16.5" customHeight="1">
      <c r="A43" s="335" t="s">
        <v>213</v>
      </c>
      <c r="B43" s="336">
        <f>SUM(B39:B42)</f>
        <v>3101.9999999999995</v>
      </c>
      <c r="C43" s="366">
        <f t="shared" si="0"/>
        <v>0.2113502295418837</v>
      </c>
      <c r="D43" s="336">
        <f>SUM(D39:D42)</f>
        <v>514317</v>
      </c>
      <c r="E43" s="367">
        <f t="shared" si="1"/>
        <v>35.04223597914024</v>
      </c>
      <c r="F43" s="336">
        <f>SUM(F39:F42)</f>
        <v>301161</v>
      </c>
      <c r="G43" s="367">
        <f t="shared" si="2"/>
        <v>20.519163919749595</v>
      </c>
      <c r="H43" s="336">
        <f>SUM(H39:H42)</f>
        <v>649126</v>
      </c>
      <c r="I43" s="367">
        <f t="shared" si="4"/>
        <v>44.22724987156828</v>
      </c>
      <c r="J43" s="339">
        <f>SUM(J39:J42)</f>
        <v>1467706</v>
      </c>
    </row>
    <row r="44" spans="1:10" s="371" customFormat="1" ht="24" customHeight="1">
      <c r="A44" s="368" t="s">
        <v>37</v>
      </c>
      <c r="B44" s="336">
        <f>SUM(B38,B36,B29,B23,B8,B43)</f>
        <v>49246.022</v>
      </c>
      <c r="C44" s="369">
        <f t="shared" si="0"/>
        <v>0.4962927914527144</v>
      </c>
      <c r="D44" s="336">
        <f>SUM(D38,D36,D29,D23,D8,D43)</f>
        <v>5464785</v>
      </c>
      <c r="E44" s="370">
        <f t="shared" si="1"/>
        <v>55.07314686938414</v>
      </c>
      <c r="F44" s="336">
        <f>SUM(F38,F36,F29,F23,F8,F43)</f>
        <v>1318193</v>
      </c>
      <c r="G44" s="370">
        <f t="shared" si="2"/>
        <v>13.284518364618933</v>
      </c>
      <c r="H44" s="336">
        <f>SUM(H38,H36,H29,H23,H8,H43)</f>
        <v>3090551.978</v>
      </c>
      <c r="I44" s="370">
        <f t="shared" si="4"/>
        <v>31.146041974544218</v>
      </c>
      <c r="J44" s="339">
        <f>SUM(J38,J36,J29,J23,J8,J43)</f>
        <v>9922776</v>
      </c>
    </row>
    <row r="45" spans="2:4" ht="16.5" customHeight="1">
      <c r="B45" s="324">
        <v>49246</v>
      </c>
      <c r="D45" s="324">
        <v>5467785</v>
      </c>
    </row>
    <row r="46" ht="16.5" customHeight="1">
      <c r="A46" s="372"/>
    </row>
  </sheetData>
  <mergeCells count="15">
    <mergeCell ref="A1:J1"/>
    <mergeCell ref="A2:J2"/>
    <mergeCell ref="A4:A6"/>
    <mergeCell ref="B4:E4"/>
    <mergeCell ref="F4:G4"/>
    <mergeCell ref="H4:I4"/>
    <mergeCell ref="J4:J6"/>
    <mergeCell ref="B5:B6"/>
    <mergeCell ref="C5:C6"/>
    <mergeCell ref="D5:D6"/>
    <mergeCell ref="I5:I6"/>
    <mergeCell ref="E5:E6"/>
    <mergeCell ref="F5:F6"/>
    <mergeCell ref="G5:G6"/>
    <mergeCell ref="H5:H6"/>
  </mergeCells>
  <printOptions horizontalCentered="1"/>
  <pageMargins left="0.2" right="0.2" top="0.25" bottom="0.18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Dalocsáné Terenyei Ágnes</cp:lastModifiedBy>
  <cp:lastPrinted>2008-04-28T10:47:14Z</cp:lastPrinted>
  <dcterms:created xsi:type="dcterms:W3CDTF">2006-11-20T12:40:41Z</dcterms:created>
  <dcterms:modified xsi:type="dcterms:W3CDTF">2010-04-29T07:36:17Z</dcterms:modified>
  <cp:category/>
  <cp:version/>
  <cp:contentType/>
  <cp:contentStatus/>
</cp:coreProperties>
</file>