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25" yWindow="75" windowWidth="9570" windowHeight="8505" tabRatio="728" firstSheet="18" activeTab="25"/>
  </bookViews>
  <sheets>
    <sheet name="1. sz. melléklet" sheetId="1" r:id="rId1"/>
    <sheet name="1.a Állami t." sheetId="2" r:id="rId2"/>
    <sheet name="1.aa Intézményi bontás " sheetId="3" r:id="rId3"/>
    <sheet name="1.b kötött" sheetId="4" r:id="rId4"/>
    <sheet name=" 1.c. bevétel" sheetId="5" r:id="rId5"/>
    <sheet name="1 d Hitelkorlát" sheetId="6" r:id="rId6"/>
    <sheet name="2.sz. intézményi" sheetId="7" r:id="rId7"/>
    <sheet name="2.a Int. célt." sheetId="8" r:id="rId8"/>
    <sheet name="2.b. Kiemelt" sheetId="9" r:id="rId9"/>
    <sheet name="2.b.a élelmezés" sheetId="10" r:id="rId10"/>
    <sheet name="3.1. terv alapegys" sheetId="11" r:id="rId11"/>
    <sheet name="3 a melléklet" sheetId="12" r:id="rId12"/>
    <sheet name="3.b.beruházások céltart" sheetId="13" r:id="rId13"/>
    <sheet name="3 c forrás szerk" sheetId="14" r:id="rId14"/>
    <sheet name="3 d EU Kétpó" sheetId="15" r:id="rId15"/>
    <sheet name="3 d EU belváros" sheetId="16" r:id="rId16"/>
    <sheet name="4.a működési tőke mérleg " sheetId="17" r:id="rId17"/>
    <sheet name="5.sz. kötelezettségek" sheetId="18" r:id="rId18"/>
    <sheet name="5.a melléklet" sheetId="19" r:id="rId19"/>
    <sheet name="5 b beruházás" sheetId="20" r:id="rId20"/>
    <sheet name="5 c felújítás" sheetId="21" r:id="rId21"/>
    <sheet name="5 d átadott pe" sheetId="22" r:id="rId22"/>
    <sheet name="5 e közvetett tám" sheetId="23" r:id="rId23"/>
    <sheet name="6. sz.mell mérleg" sheetId="24" r:id="rId24"/>
    <sheet name="7. sz.előirányzat felhaszn." sheetId="25" r:id="rId25"/>
    <sheet name="Kisebbség" sheetId="26" r:id="rId26"/>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GDP" localSheetId="4">'[1]Háttéradatok'!$B$22:$AG$28</definedName>
    <definedName name="GDP" localSheetId="5">'[1]Háttéradatok'!$B$22:$AG$28</definedName>
    <definedName name="GDP" localSheetId="0">'[1]Háttéradatok'!$B$22:$AG$28</definedName>
    <definedName name="GDP" localSheetId="7">'[4]Háttéradatok'!$B$22:$AG$28</definedName>
    <definedName name="GDP" localSheetId="8">'[1]Háttéradatok'!$B$22:$AG$28</definedName>
    <definedName name="GDP" localSheetId="9">'[1]Háttéradatok'!$B$22:$AG$28</definedName>
    <definedName name="GDP" localSheetId="6">'[1]Háttéradatok'!$B$22:$AG$28</definedName>
    <definedName name="GDP" localSheetId="16">'[1]Háttéradatok'!$B$22:$AG$28</definedName>
    <definedName name="GDP">'[1]Háttéradatok'!$B$22:$AG$28</definedName>
    <definedName name="gdpp">'[2]Háttéradatok'!$B$22:$AG$28</definedName>
    <definedName name="intézmény" localSheetId="8">'[1]Háttéradatok'!$C$29:$AG$32</definedName>
    <definedName name="intézmény">'[1]Háttéradatok'!$C$29:$AG$32</definedName>
    <definedName name="nep" localSheetId="8">'[1]Háttéradatok'!$C$29:$AG$32</definedName>
    <definedName name="nep" localSheetId="9">'[1]Háttéradatok'!$C$29:$AG$32</definedName>
    <definedName name="nep">'[1]Háttéradatok'!$C$29:$AG$32</definedName>
    <definedName name="nép" localSheetId="4">'[1]Háttéradatok'!$C$29:$AG$32</definedName>
    <definedName name="nép" localSheetId="5">'[1]Háttéradatok'!$C$29:$AG$32</definedName>
    <definedName name="nép" localSheetId="0">'[1]Háttéradatok'!$C$29:$AG$32</definedName>
    <definedName name="nép" localSheetId="7">'[4]Háttéradatok'!$C$29:$AG$32</definedName>
    <definedName name="nép" localSheetId="8">'[1]Háttéradatok'!$C$29:$AG$32</definedName>
    <definedName name="nép" localSheetId="9">'[1]Háttéradatok'!$C$29:$AG$32</definedName>
    <definedName name="nép" localSheetId="6">'[1]Háttéradatok'!$C$29:$AG$32</definedName>
    <definedName name="nép" localSheetId="16">'[1]Háttéradatok'!$C$29:$AG$32</definedName>
    <definedName name="nép">'[1]Háttéradatok'!$C$29:$AG$32</definedName>
    <definedName name="_xlnm.Print_Titles" localSheetId="4">' 1.c. bevétel'!$5:$7</definedName>
    <definedName name="_xlnm.Print_Titles" localSheetId="0">'1. sz. melléklet'!$5:$7</definedName>
    <definedName name="_xlnm.Print_Titles" localSheetId="1">'1.a Állami t.'!$4:$6</definedName>
    <definedName name="_xlnm.Print_Titles" localSheetId="2">'1.aa Intézményi bontás '!$5:$8</definedName>
    <definedName name="_xlnm.Print_Titles" localSheetId="7">'2.a Int. célt.'!$8:$9</definedName>
    <definedName name="_xlnm.Print_Titles" localSheetId="11">'3 a melléklet'!$5:$8</definedName>
    <definedName name="_xlnm.Print_Titles" localSheetId="13">'3 c forrás szerk'!$6:$7</definedName>
    <definedName name="_xlnm.Print_Titles" localSheetId="10">'3.1. terv alapegys'!$6:$9</definedName>
    <definedName name="_xlnm.Print_Titles" localSheetId="12">'3.b.beruházások céltart'!$5:$8</definedName>
    <definedName name="_xlnm.Print_Titles" localSheetId="19">'5 b beruházás'!$6:$6</definedName>
    <definedName name="_xlnm.Print_Titles" localSheetId="18">'5.a melléklet'!$A:$C</definedName>
    <definedName name="_xlnm.Print_Area" localSheetId="4">' 1.c. bevétel'!$A$1:$C$67</definedName>
    <definedName name="_xlnm.Print_Area" localSheetId="0">'1. sz. melléklet'!$A$1:$D$62</definedName>
    <definedName name="_xlnm.Print_Area" localSheetId="1">'1.a Állami t.'!$A$1:$K$116</definedName>
    <definedName name="_xlnm.Print_Area" localSheetId="2">'1.aa Intézményi bontás '!$A$1:$M$568</definedName>
    <definedName name="_xlnm.Print_Area" localSheetId="3">'1.b kötött'!$A$1:$M$41</definedName>
    <definedName name="_xlnm.Print_Area" localSheetId="7">'2.a Int. célt.'!$A$1:$H$53</definedName>
    <definedName name="_xlnm.Print_Area" localSheetId="8">'2.b. Kiemelt'!$A$1:$G$37</definedName>
    <definedName name="_xlnm.Print_Area" localSheetId="6">'2.sz. intézményi'!$A$1:$I$254</definedName>
    <definedName name="_xlnm.Print_Area" localSheetId="11">'3 a melléklet'!$A$1:$D$316</definedName>
    <definedName name="_xlnm.Print_Area" localSheetId="13">'3 c forrás szerk'!$A$1:$F$45</definedName>
    <definedName name="_xlnm.Print_Area" localSheetId="15">'3 d EU belváros'!$A$1:$E$16</definedName>
    <definedName name="_xlnm.Print_Area" localSheetId="10">'3.1. terv alapegys'!$A$1:$L$246</definedName>
    <definedName name="_xlnm.Print_Area" localSheetId="12">'3.b.beruházások céltart'!$A$1:$M$51</definedName>
    <definedName name="_xlnm.Print_Area" localSheetId="16">'4.a működési tőke mérleg '!$A$1:$H$34</definedName>
    <definedName name="_xlnm.Print_Area" localSheetId="19">'5 b beruházás'!$A$1:$H$34</definedName>
    <definedName name="_xlnm.Print_Area" localSheetId="21">'5 d átadott pe'!$A$1:$F$12</definedName>
    <definedName name="_xlnm.Print_Area" localSheetId="22">'5 e közvetett tám'!$A$1:$D$23</definedName>
    <definedName name="_xlnm.Print_Area" localSheetId="18">'5.a melléklet'!$A$1:$BX$34</definedName>
    <definedName name="_xlnm.Print_Area" localSheetId="23">'6. sz.mell mérleg'!$A$1:$N$33</definedName>
    <definedName name="_xlnm.Print_Area" localSheetId="24">'7. sz.előirányzat felhaszn.'!$A$1:$N$72</definedName>
    <definedName name="_xlnm.Print_Area" localSheetId="25">'Kisebbség'!$A$1:$E$42</definedName>
    <definedName name="xxx" localSheetId="8">'[1]Háttéradatok'!$C$29:$AG$32</definedName>
    <definedName name="xxx">'[1]Háttéradatok'!$C$29:$AG$32</definedName>
    <definedName name="xxxxxx" localSheetId="8">'[1]Háttéradatok'!$C$29:$AG$32</definedName>
    <definedName name="xxxxxx" localSheetId="9">'[1]Háttéradatok'!$C$29:$AG$32</definedName>
    <definedName name="xxxxxx" localSheetId="6">'[1]Háttéradatok'!$C$29:$AG$32</definedName>
    <definedName name="xxxxxx" localSheetId="15">'[6]Háttéradatok'!$C$29:$AG$32</definedName>
    <definedName name="xxxxxx" localSheetId="14">'[6]Háttéradatok'!$C$29:$AG$32</definedName>
    <definedName name="xxxxxx">'[1]Háttéradatok'!$C$29:$AG$32</definedName>
  </definedNames>
  <calcPr fullCalcOnLoad="1"/>
</workbook>
</file>

<file path=xl/sharedStrings.xml><?xml version="1.0" encoding="utf-8"?>
<sst xmlns="http://schemas.openxmlformats.org/spreadsheetml/2006/main" count="3754" uniqueCount="1595">
  <si>
    <t>Építészeti,Faip.és K.gazd.Szakközép - és Szakiskola</t>
  </si>
  <si>
    <t>Szolnok Városi Pedagógiai Szakszolgálat</t>
  </si>
  <si>
    <t>SZMJV Önkormányzat Egészségügyi és Bölcsődei Igazgatósága</t>
  </si>
  <si>
    <t>Szigligeti Szinház</t>
  </si>
  <si>
    <t>"Liget Otthon" Fogy. Szem. Ápoló, Gond.O.és Nappali Int.</t>
  </si>
  <si>
    <t>Közterület Felügyelet</t>
  </si>
  <si>
    <t>költségvetési intézményei 2008. évi költségvetési előirányzatainak összefoglalója</t>
  </si>
  <si>
    <t>Szandaszőlősi Ált. Isk., Műv. Ház és Alapfokú Művokt. Int.</t>
  </si>
  <si>
    <t>Szolnok Megyei Jogú Város 2008. évi állami hozzájárulásának jogcímei és összegei</t>
  </si>
  <si>
    <t>Hivatk.a tv.3,8.sz. mellékl.    jogc.-re</t>
  </si>
  <si>
    <t>12.ab.(1)</t>
  </si>
  <si>
    <t xml:space="preserve">Közoktatási alaphozzájárulások </t>
  </si>
  <si>
    <t>15.2..</t>
  </si>
  <si>
    <t>15.2.(a3)</t>
  </si>
  <si>
    <t>15.2.(a4)</t>
  </si>
  <si>
    <t>15.a.(3)</t>
  </si>
  <si>
    <t>Ápolási díj állapítható meg annak a személynek, aki hozzátartozója ápolását, gondozását végzi. Az előirányzat mintegy 330 fő támogatását teszi lehetővé.</t>
  </si>
  <si>
    <t xml:space="preserve">Temetési segély nyújtható annak, aki elhunyt személy eltemettetéséről gondoskodik. Az előirányzat mintegy 130 fő támogatást teszi lehetővé. </t>
  </si>
  <si>
    <t>Nornatív vagy helyi lakásfenntartási támogatásra jogosult a kérelmező, ha jövedelmi viszonyai és a lakásfenntartási kiadásai a jogszabályi feltételeknek megfelelnek. Az előirányzat mintegy 1000 fő támogatását teszi lehetővé.</t>
  </si>
  <si>
    <t xml:space="preserve">Az időskorúak járadéka a megélhetést biztosító jövedelemmel nem rendelkező időskorú személyek részére nyújtott rendszeres havi támogatás. Az előrányzat mintegy 15 fő részére teszi lehetővé a támogatást. </t>
  </si>
  <si>
    <t>A hulladékkezelési díjtámogatás a hulladékkezelési közszolgáltatási díj fizetésével járó költségek csökkentésére szociálisan rászorultak részére nyújtott pénzbeli támogatás. Az előirányzat 2200 háztartás támogatását teszi lehetővé.</t>
  </si>
  <si>
    <t xml:space="preserve">Humán szakfeladatok célelőirányzatai </t>
  </si>
  <si>
    <t>Önkormányzat és Rendőrség a Gyermekeinkért</t>
  </si>
  <si>
    <t>Kereskedelmi és Vendéglátóipari Szakközép- és Szakiskola összesen:</t>
  </si>
  <si>
    <t>Ruhaipari Szakközép- és Szakiskola összesen:</t>
  </si>
  <si>
    <t>Egyéb felhalmozási kiadások</t>
  </si>
  <si>
    <t>Szolnok Megyei Jogú Város Önkormányzata fenntartásában működő költségvetési szervek munkavállalói lakhatásának megoldását biztosító Közszolgálati szállók üzemeltetésével, a tárgyi eszközök pótlásával kapcsolatban felmerült költségek fedezetét biztosítja.</t>
  </si>
  <si>
    <t>Az önkormányzat tulajdonában lévő (jelenleg 1636 db) lakást terhelő dologi fedezetét biztosítja. A 2008.év folyamán az önkormányzati tulajdonban lévő lakások üzemeltetésével kapcsolatban felmerült szolgáltatási díjak költsége kerül elszámolása.</t>
  </si>
  <si>
    <t>Az önkormányzat tulajdonában lévő ingatlanok tulajdonviszonyainak rendezéséhez, az ingatlan-nyilvántartás (tulajdoni lap, térkép) aktualizálásához, a földmérési munka, értékbecslés fedezetére biztosított előirányzat összege.</t>
  </si>
  <si>
    <t>Közvilágítás egyedi lakossági igények</t>
  </si>
  <si>
    <t>Thököly út 7. fogyatékosok otthonának építése</t>
  </si>
  <si>
    <t>3. b. sz. melléklet</t>
  </si>
  <si>
    <t>3. c. sz. melléklet</t>
  </si>
  <si>
    <t>3. d. számú melléklet</t>
  </si>
  <si>
    <t>15.a.(4)</t>
  </si>
  <si>
    <t>15.2.(b1)</t>
  </si>
  <si>
    <t>15.2.(b2)</t>
  </si>
  <si>
    <t>15.2.(b3)</t>
  </si>
  <si>
    <t>15.2.(b4)</t>
  </si>
  <si>
    <t>15.2.(b5)</t>
  </si>
  <si>
    <t>15.2.(b6)</t>
  </si>
  <si>
    <t>15.b(1)</t>
  </si>
  <si>
    <t>15.b(2)</t>
  </si>
  <si>
    <t>15.b(3)</t>
  </si>
  <si>
    <t>15.b(4)</t>
  </si>
  <si>
    <t>15.b(5)</t>
  </si>
  <si>
    <t>15.2(c1)</t>
  </si>
  <si>
    <t>15.2(c2)</t>
  </si>
  <si>
    <t>15.2(c3)</t>
  </si>
  <si>
    <t>15.c(1)</t>
  </si>
  <si>
    <t>15.c(2)</t>
  </si>
  <si>
    <t>15.2(d1)</t>
  </si>
  <si>
    <t>15.2(d2)</t>
  </si>
  <si>
    <t>15.d(1)</t>
  </si>
  <si>
    <t>15.d(2)</t>
  </si>
  <si>
    <t>16.2.1.(1)</t>
  </si>
  <si>
    <t>Alapfokú Művészetoktatás Képző- és iparművészeti, táncművészeti, szín- és bábművészeti ág (1-8. hóra) Minősített intézményben</t>
  </si>
  <si>
    <t>16.2.2.(1)</t>
  </si>
  <si>
    <t>Alapfokú Művészetoktatás Képző- és iparművészeti, táncművészeti, szín- és bábművészeti ág (1-8. hóra) Nem minősített intézményben</t>
  </si>
  <si>
    <t>16.2.2.(2)</t>
  </si>
  <si>
    <t>15.e(3)</t>
  </si>
  <si>
    <t>Szent-Györgyi Albert Általános Iskola</t>
  </si>
  <si>
    <t>Verseghy Ferenc Gimnázium</t>
  </si>
  <si>
    <t>Varga Katalin Gimnázium</t>
  </si>
  <si>
    <t>Városi Kollégium</t>
  </si>
  <si>
    <t>Szigligeti Színház</t>
  </si>
  <si>
    <t>B E V É T E L</t>
  </si>
  <si>
    <t xml:space="preserve"> -Hatósági jogkörhöz köthető működési bevétel</t>
  </si>
  <si>
    <t xml:space="preserve"> -Egyéb saját bevétel</t>
  </si>
  <si>
    <t xml:space="preserve"> -ÁFA -bevételek, -visszatérülések</t>
  </si>
  <si>
    <t>Bevétel (támogatás) összesen:</t>
  </si>
  <si>
    <t xml:space="preserve">     Kiadások forrásszerkezete:</t>
  </si>
  <si>
    <t>Kiadások mindösszesen:</t>
  </si>
  <si>
    <t>Önkormányzati saját erő (nem tám.műsz.tart.)</t>
  </si>
  <si>
    <t>Meglévő forgalmi rend biztosítása, üzemeltetése, közúti jelzőtáblák kihelyezése (kb. 600 db), bevonása (kb. 400 db), közúti oszlopok kihelyezése (kb. 180 db).</t>
  </si>
  <si>
    <t>A Szolnok Város úthálózat- és közlekedés fejlesztési koncepciójához kapcsolódó útépítések megvalósítására 2001. évben igénybe vett 219.564 ezer Ft összegű beruházási hitel 2008. évi tőke és kamatfizetési előirányzata.</t>
  </si>
  <si>
    <t>A Szolnok Városi Sportcsarnok rekonstrukciójára 2001. évben felvett 150.000 ezer Ft összegű beruházási hitel 2008. évi tőke és kamatfizetési előirányzata.</t>
  </si>
  <si>
    <t>A Szolnok Város úthálózat- és közlekedés fejlesztési koncepciójához kapcsolódó útépítések megvalósítására 2002. évben igénybe vett 144.382 ezer Ft összegű beruházási hitel 2008. évi tőke és kamatfizetési előirányzata.</t>
  </si>
  <si>
    <t>TVM lakótelep megvásárlására, a Forrás Vagyonkezelési és Befektetési  Rt-vel 2002. februárjában kötött adásvételi szerződés szerinti, 2002. évi vételár-részletre folyósított 114.618 ezer Ft beruházási hitel 2008. évi tőke és kamatfizetési előirányzata.</t>
  </si>
  <si>
    <t>A meglévő útalapok felületi lezárása, utak felújítása, Szabadság tér körforgalmú csomóponttá történő átalakítása, parkolók létesítése beruházási feladatok megvalósítására igényelt 340.967 ezer Ft összegű beruházási hitel 2008. évi tőke és kamatfizetési előirányzata.</t>
  </si>
  <si>
    <t>Az önkormányzat 2004. évi beruházási feladatai végrehajtásához felvett 266.000 ezer Ft összegű beruházási hitel 2008. évi tőke és kamatfizetési előirányzata.</t>
  </si>
  <si>
    <t>A "Beruházás a 21. századi iskolába" pályázat keretében, a Széchenyi István Gimnázium és Általános Iskola tornacsarnok tetőszerkezetének és héjazatának felújítását célzó beruházás megvalósításához, az MFB Rt. által folyósított 116.040 ezer Ft összegű beruházási hitel 2008. évi tőke és kamatfizetési előirányzata.</t>
  </si>
  <si>
    <t>A 2006. évi beruházási feladatok megvalósítására igényelt, 1.205.339 ezer Ft keretösszegű hitel 2008. évi kamatfizetési előirányzata.</t>
  </si>
  <si>
    <t>Egyéb felhalmozási kiadás</t>
  </si>
  <si>
    <t>Fiumei úti Általános Iskola</t>
  </si>
  <si>
    <t>a működési célú bevételek és kiadások mérlege</t>
  </si>
  <si>
    <t>Bevételek</t>
  </si>
  <si>
    <t>Kiadások</t>
  </si>
  <si>
    <t>Saját bevételek</t>
  </si>
  <si>
    <t>Személyi juttatások</t>
  </si>
  <si>
    <t>Átengedett bevételek</t>
  </si>
  <si>
    <t>Járulékok</t>
  </si>
  <si>
    <t>Átvett pénzeszközök</t>
  </si>
  <si>
    <t>Dologi kiadások</t>
  </si>
  <si>
    <t>Állami hozzájárulás</t>
  </si>
  <si>
    <t>Egyéb</t>
  </si>
  <si>
    <t>Pénzeszköz átadás</t>
  </si>
  <si>
    <t>OEP</t>
  </si>
  <si>
    <t>Működési célú hiteltörlesztés
(tőke + kamat)</t>
  </si>
  <si>
    <t>Tartalék</t>
  </si>
  <si>
    <t>Pénzügyi elszámolások</t>
  </si>
  <si>
    <t>ÖSSZESEN:</t>
  </si>
  <si>
    <t>Hiány:</t>
  </si>
  <si>
    <t>Többlet:</t>
  </si>
  <si>
    <t>a tőkejellegű bevételek és kiadások mérlege</t>
  </si>
  <si>
    <t>Önkormányzat felhalmozási
és tőkejellegű bevételei</t>
  </si>
  <si>
    <t>Fejlesztési célú támogatások
(cél-címzett, egyéb)</t>
  </si>
  <si>
    <t>Felhalmozási célú pénzeszköz átadás</t>
  </si>
  <si>
    <t>Felhalmozási célú hiteltörlesztés (tőke + kamat)</t>
  </si>
  <si>
    <t>Felhalmozási átvett (PH)</t>
  </si>
  <si>
    <t>ÁFA</t>
  </si>
  <si>
    <t xml:space="preserve">Szolnok Megyei Jogú Város </t>
  </si>
  <si>
    <t>B E V É T E L E K</t>
  </si>
  <si>
    <t>K I A D Á S O K</t>
  </si>
  <si>
    <t xml:space="preserve"> </t>
  </si>
  <si>
    <t>I. Működési  bevételek</t>
  </si>
  <si>
    <t>I. Intézmények elemi kiadásai</t>
  </si>
  <si>
    <t>1. Intézményi működési bevételek</t>
  </si>
  <si>
    <t>2. Önkormányzat sajátos működési bevételei</t>
  </si>
  <si>
    <t>II. Polgármesteri Hivatal</t>
  </si>
  <si>
    <t>2.1 Illetékek</t>
  </si>
  <si>
    <t xml:space="preserve">2.2. Helyi adók </t>
  </si>
  <si>
    <t>Gyermekélelmezési kiadások</t>
  </si>
  <si>
    <t xml:space="preserve"> részben önállóan gazdálkodó intézményeinek, valamint a SzMJV Önkormányzat Egészségügyi és Bölcsődei Igazgatósága élelmezési előirányzatai</t>
  </si>
  <si>
    <t xml:space="preserve">Szolnok Megyei Jogú Város Intézményszolgálata </t>
  </si>
  <si>
    <t>Kodály Zoltán Ének-zenei Általános Iskola és Tallinn Alapfokú Művészetoktatási Intézmény</t>
  </si>
  <si>
    <t>Építészeti, Faipari és Környezetgazdálkodási Szakközép - és Szakiskola</t>
  </si>
  <si>
    <t>összege</t>
  </si>
  <si>
    <t xml:space="preserve">    koncessziós díj bevétel ALFA-NOVA Kft.</t>
  </si>
  <si>
    <t>Osztalék (Remondis Szolnok ZRt.)</t>
  </si>
  <si>
    <t xml:space="preserve">Iparosított technológiával épült lakóépületek korszerűsítése </t>
  </si>
  <si>
    <t>Támogatási kölcsönök visszatérülése, értékpapírok értékesítésének, kibocsátása</t>
  </si>
  <si>
    <t>Dolgozók lakásépítési kölcsön törlesztése</t>
  </si>
  <si>
    <t>Megszűnt víziközmű társulattól érdekeltségi hozzájárulás</t>
  </si>
  <si>
    <t>Felhalmozási és tőke jellegű bevételek</t>
  </si>
  <si>
    <t xml:space="preserve">        Útépítések 2005. OTP-MFB</t>
  </si>
  <si>
    <t xml:space="preserve">        Beruházási hitel 2006. CIB</t>
  </si>
  <si>
    <t xml:space="preserve">        Szennyvíztisztító EIB hitel</t>
  </si>
  <si>
    <t>Szennyvíztisztító EIB hitel</t>
  </si>
  <si>
    <t xml:space="preserve">A költségvetési intézményekben folyó gazdálkodás hatékonyságának növelése érdekében létrehozott  alap a városháztartási reform feladatainak hatékony végrehajtásához biztosít forrásokat. </t>
  </si>
  <si>
    <t xml:space="preserve">Az általános tartalék a rendelet szerint meghatározottak alapján év közben jelentkező forrás. </t>
  </si>
  <si>
    <t>M I N D Ö S S Z ES E N :</t>
  </si>
  <si>
    <r>
      <t>Meglévő burkolt közutak állagmegóvása, rendeltetésszerű használatának biztosítása, állagromlásának megakadályozása és részleges szinten tartása. Útfenntartás (kátyúzás) közelítőleg 8000 m</t>
    </r>
    <r>
      <rPr>
        <vertAlign val="superscript"/>
        <sz val="11"/>
        <rFont val="Times New Roman CE"/>
        <family val="0"/>
      </rPr>
      <t>2</t>
    </r>
    <r>
      <rPr>
        <sz val="11"/>
        <rFont val="Times New Roman CE"/>
        <family val="0"/>
      </rPr>
      <t xml:space="preserve"> felületen.</t>
    </r>
  </si>
  <si>
    <r>
      <t>Gyalogos járdák fenntartási és javítási munkáinak elvégzése, karbantartási munkák öntött aszfalt, hengerelt aszfalt, beton és díszburkoló kő felhasználásával. Járdafenntartás közelítőleg 5000 m</t>
    </r>
    <r>
      <rPr>
        <vertAlign val="superscript"/>
        <sz val="11"/>
        <rFont val="Times New Roman CE"/>
        <family val="0"/>
      </rPr>
      <t>2</t>
    </r>
    <r>
      <rPr>
        <sz val="11"/>
        <rFont val="Times New Roman CE"/>
        <family val="0"/>
      </rPr>
      <t xml:space="preserve"> felületen.</t>
    </r>
  </si>
  <si>
    <r>
      <t>Földutak gépjárművekkel történő használhatóságának biztosítása, a minimális szintű közlekedési lehetőség fenntartása közelítőleg 4500-5000 m</t>
    </r>
    <r>
      <rPr>
        <vertAlign val="superscript"/>
        <sz val="11"/>
        <rFont val="Times New Roman CE"/>
        <family val="0"/>
      </rPr>
      <t>2</t>
    </r>
    <r>
      <rPr>
        <sz val="11"/>
        <rFont val="Times New Roman CE"/>
        <family val="0"/>
      </rPr>
      <t xml:space="preserve"> felületen.</t>
    </r>
  </si>
  <si>
    <t>Előző évi várható pénzmaradvány</t>
  </si>
  <si>
    <t>Felhalmozási átvett (intézmények)</t>
  </si>
  <si>
    <t>Társadalmi és szociálpolitikai juttatások</t>
  </si>
  <si>
    <t>Kiadás vonzata évenként</t>
  </si>
  <si>
    <t>2/a.</t>
  </si>
  <si>
    <t>2/b.</t>
  </si>
  <si>
    <t>1996-2010.</t>
  </si>
  <si>
    <t>Beruházási hitelek:</t>
  </si>
  <si>
    <t>3. Pénzügyi befektetések bevételei</t>
  </si>
  <si>
    <t>IV. Véglegesen átvett pénzeszközök</t>
  </si>
  <si>
    <t>1. Működési célú pénzeszközátvétel</t>
  </si>
  <si>
    <t xml:space="preserve">    Melyből: OEP-től átvett pénzeszköz</t>
  </si>
  <si>
    <t>Ellátottak pénzbeli juttatása</t>
  </si>
  <si>
    <t xml:space="preserve">               Intézmények</t>
  </si>
  <si>
    <t>Speciális célú támogatások</t>
  </si>
  <si>
    <t>2. Felhalmozási célú pénzeszközátvétel</t>
  </si>
  <si>
    <t>Felhalmozási kiadások</t>
  </si>
  <si>
    <t xml:space="preserve">VIII. Pénzforgalom nélküli bevételek </t>
  </si>
  <si>
    <t>1. Előző évi pénzmaradvány igénybevétele</t>
  </si>
  <si>
    <t xml:space="preserve">    Melyből: Intézmények</t>
  </si>
  <si>
    <t>2. Előző évi vállalkozási eredmény igénybevétele</t>
  </si>
  <si>
    <t>Összesen</t>
  </si>
  <si>
    <t>Fedezethiány:</t>
  </si>
  <si>
    <t>IV. Pénzügyi elszámolások</t>
  </si>
  <si>
    <t>MINDÖSSZESEN:</t>
  </si>
  <si>
    <t>összesen</t>
  </si>
  <si>
    <t>Szolnok Megyei Jogú Város Polgármesteri Hivatal</t>
  </si>
  <si>
    <t>Megnevezés</t>
  </si>
  <si>
    <t xml:space="preserve">I. </t>
  </si>
  <si>
    <t>Bírságok, pótlékok és egyéb sajátos bevételek</t>
  </si>
  <si>
    <t xml:space="preserve">1. </t>
  </si>
  <si>
    <t>Különféle bírságok előirányzata</t>
  </si>
  <si>
    <t xml:space="preserve">2. </t>
  </si>
  <si>
    <t>Egyéb sajátos bevételek</t>
  </si>
  <si>
    <t>Közterületfoglalási díj</t>
  </si>
  <si>
    <t xml:space="preserve">Egyéb, kamat, hatósági eljárás bevétele </t>
  </si>
  <si>
    <t xml:space="preserve">Szúnyoggyérítés </t>
  </si>
  <si>
    <t>Közbeszerzés</t>
  </si>
  <si>
    <t>Parkolók bérlete</t>
  </si>
  <si>
    <t>Lakásalap:</t>
  </si>
  <si>
    <t xml:space="preserve">          Lakbérek</t>
  </si>
  <si>
    <t xml:space="preserve">          Zöld Ház tásasház közös költség</t>
  </si>
  <si>
    <t xml:space="preserve">          Pedagógus szálló bérleti díj </t>
  </si>
  <si>
    <t>Helyiségbérleti díjak</t>
  </si>
  <si>
    <t>Földhaszonbérlet</t>
  </si>
  <si>
    <t xml:space="preserve">3. </t>
  </si>
  <si>
    <t xml:space="preserve">Áfa bevétel </t>
  </si>
  <si>
    <t xml:space="preserve">II. </t>
  </si>
  <si>
    <t>Fejlesztési célú támogatások</t>
  </si>
  <si>
    <t>1.</t>
  </si>
  <si>
    <t>Címzett támogatás</t>
  </si>
  <si>
    <t>2.</t>
  </si>
  <si>
    <t>Céljellegű decentralizált támogatás</t>
  </si>
  <si>
    <t>III.</t>
  </si>
  <si>
    <t>Felhalmozási bevételek</t>
  </si>
  <si>
    <t>Tárgyi eszközök, immateriális javak értékesítése</t>
  </si>
  <si>
    <t>9 játszótér átépítése (szabvány előírásainak megfelelővé tétele), 35 játszótér rendszeres (min. havonkénti) karbantartása, a 78/2003. (XI.27.) sz. GKM rendelet értelmében a szabvány előírásainak nem megfelelő játszótéri eszközök elbontása, játszóterek kötelező évi ellenőrzése.</t>
  </si>
  <si>
    <t>A fő- és tömegközlekedési utak takarítása, egyes közterületek takarítása, zenés szórakozóhelyek rendezvények utáni takarítása, útszegély kézi erővel történő takarítása. Útlocsolás. Körzeti köztisztasági feladatok ellátása, parkőri feladatok. Zöld kommandó biztosítása.</t>
  </si>
  <si>
    <t xml:space="preserve">Több éves tapasztalat alapján, valamint az ÁNTSZ és lakossági észrevételek  figyelmbevételével végzett irtás. A tervezett terület 25 ha tavaszi-őszi irtás a Tiszaligetben, a Vegyiművek lakótelepen és a Bimbó út környékén. </t>
  </si>
  <si>
    <t>Az alapítvány működési költségeit fedezi 2008-ra, valamint a kutya megfigyelő üzemeltetését is biztosítja.</t>
  </si>
  <si>
    <t>A városban keletkező 5-6 tonna állati tetem  átmeneti tárolását, elszállítását és ártalmatlanítását teszi lehetővé.</t>
  </si>
  <si>
    <t>Az ÁNTSZ felhívására kötelezően elvégzendő, valamint a város közterületein észlelt patkánygócok mentesítését teszi lehetővé.</t>
  </si>
  <si>
    <t>A városi eboltás közhírelését és a szervezett eboltás lebonyolítását teszi lehetővé.</t>
  </si>
  <si>
    <t>Az elmúlt évek tapasztalatai alapján a keret 6 alkalommal 3750 ha végzett légi kémiai, 6 alkalommal 400 ha-on földi melegködös, és 2 alkalommal 450 ha-on biológiai kezelést tesz lehetővé, valamint biztosítja a szúnyoggyérítést irányító szakértő költségeit.</t>
  </si>
  <si>
    <t>A szakfeladat munkái pályáztatásainak, és a közbeszerzés kiírásának költségeit fedezi.</t>
  </si>
  <si>
    <t xml:space="preserve">A növényvédelmi törvényben kötelezően előírt allergén és gyomnövények irtása az önkormányzati területen. A  megemelt keret 80 ha gyomtalanítását teszi lehetővé. </t>
  </si>
  <si>
    <t>Lakossági panaszok, társhatósági megkeresések alapján hatósági eljárásokban műszerrel, szakértő által végzett vizsgálatok díja.</t>
  </si>
  <si>
    <t xml:space="preserve">A Jászkun Volán ZRt-vel megkötött közszolgáltatási megállapodás alapján a helyi tömegközlekedés fenntartásához az önkormányzat által biztosított támogatás. </t>
  </si>
  <si>
    <t>VCSM ZRt. koncessziós beruházás és felújítás</t>
  </si>
  <si>
    <t>Városmarketing koncepció készítése (együttműködésben a főiskolával)</t>
  </si>
  <si>
    <t xml:space="preserve">Pedagógiai módszerek támogatása Minősített Képző- és iparművészeti, táncművészeti, szín- és bábművészeti ágon (9-12. hóra) </t>
  </si>
  <si>
    <t>Egyéb vagyonhasznosítási bevételek, helyiségértékesítés</t>
  </si>
  <si>
    <t>Beszédfogyatékos, enyhe értelmi fogyetékos, viselkedés fejlődésének organikus okokra visszavezethető, tartós és súlyos rendellenessége miatt sajátos nevelési igényű gyermekek, tanulók (9-12. hó)</t>
  </si>
  <si>
    <t xml:space="preserve">    Melyből: Iparűzési adóbevétel</t>
  </si>
  <si>
    <t xml:space="preserve">                 Építményadó</t>
  </si>
  <si>
    <t>2.3 Átengedett központi adók</t>
  </si>
  <si>
    <t xml:space="preserve">    Melyből: Személyi jövedelemadó helyben maradó része</t>
  </si>
  <si>
    <t xml:space="preserve">                Jövedelemkülönbség mérséklése (+,-)</t>
  </si>
  <si>
    <t xml:space="preserve">                Személyi jövedelemadó normatív módon elosztott része</t>
  </si>
  <si>
    <t xml:space="preserve">     b./ Működési költségvetés céltartalék</t>
  </si>
  <si>
    <t xml:space="preserve">                Gépjárműadó</t>
  </si>
  <si>
    <t>Az önkormányzati rendeletben foglalt jogosultsági feltételeknek megfelelő szemények méltányossági alapon jogosultak közgyógyellátásra. 2006. évben a közgyógyellátási rendszer átalakult. A törvényi változások hatására megnövekedett az igazolványok után fizetendő térítési díj, a helyi rendelet 2007. júliusi módosításának hatására növekedett a jogosultak száma. Az előirányzat 800 fő támogatását teszi lehetővé.</t>
  </si>
  <si>
    <t>Tanszersegélyre jogosult az a nappali tagozaton tanuló gyermek 20. életévéig, aki tárgyév június hónapjában rendszeres nevelési segélyre jogosult. A tanszersegély összege az öregségi nyugdíj mindenkori legkisebb összegének 20%-a. Az előirányzat 180 család/280 gyermek támogatását teszi lehetővé.</t>
  </si>
  <si>
    <t>A támogatás megállapítható annak a gyermeknek, akinek családjában az egy főre jutó havi nettó jövdelem nem haladja meg az öregségi nyugdíj mindenkori legkisebb összegének 150%-át. Kiterjed továbbá a védelembe vett gyermekek 100%-os támogatására is. Az előirányzat mintegy 900 gyermek támogatását teszi lehetővé.</t>
  </si>
  <si>
    <t>Intézményi felújítások (Ruhaipari SzKI, Verseghy Gimnázium)</t>
  </si>
  <si>
    <t>Iparosított technológiával épült lakóépületek korszerűsítése lakossági befizetés</t>
  </si>
  <si>
    <t>Létszám: (fő)</t>
  </si>
  <si>
    <t>ebből: szakmai (fő)</t>
  </si>
  <si>
    <t>Betegszabadságra, táppénzre tartalék</t>
  </si>
  <si>
    <t>Intézményi céltartalékok mindösszesen:</t>
  </si>
  <si>
    <t xml:space="preserve">   Szolnok 2030 / A Kötvény </t>
  </si>
  <si>
    <t>Folyószámla hitel</t>
  </si>
  <si>
    <t>Regionális hulladéklerakó megvalósítása áthúzódó</t>
  </si>
  <si>
    <t>Kerékpárút építése (Szolnok- Dobapuszta)</t>
  </si>
  <si>
    <t>Széchenyi lakótelep piac mögötti járda megvilágítása</t>
  </si>
  <si>
    <t>Sor szám</t>
  </si>
  <si>
    <t>TVM lakótelep megvásárlására, a Forrás Vagyonkezelési és Befektetési  Rt-vel 2002. februárjában kötött adásvételi szerződés szerinti, 2003. évi vételár-részletre folyósított 20.000 ezer Ft összegű beruházási hitel 2008. évi tőke és kamatfizetési előirányzata.</t>
  </si>
  <si>
    <t>2003. évben elvégzett intézményi felújításokra felvett 42.033 ezer Ft összegű 2008. évi tőke és kamatfizetési előirányzata.</t>
  </si>
  <si>
    <t xml:space="preserve">        Széchenyi I. Gimnázium  és Általános Iskola tornacsarnok MFB</t>
  </si>
  <si>
    <t>A 2005. évi útépítések részbeni forrását biztosító, 235.000 ezer Ft összegű beruházási hitel 2008. évi tőke és kamatfizetési előirányzata.</t>
  </si>
  <si>
    <t>Az önkormányzat 2004. évi beruházási feladatai végrehajtásához felvett 667.000 ezer Ft összegű beruházási hitel 2008. évi tőke és kamatfizetési előirányzata.</t>
  </si>
  <si>
    <t>Árvízi létesítmények és raktári anyagok karbantartása</t>
  </si>
  <si>
    <t>Graffitik, hirdetések, falragaszok eltávolítása</t>
  </si>
  <si>
    <t>Hulladékgyűjtők javítása, kihelyezése</t>
  </si>
  <si>
    <t>A 2005. évi útépítések részbeni forrását biztosító, a Sikeres Magyarországért Önkormányzati Fejlesztési Hitelprogram keretében felvett beruházási hitel 2008. évi tőke és kamatfizetési előirányzata.</t>
  </si>
  <si>
    <t xml:space="preserve">A kiépített zárt csapadékvízelvezető rendszer mosatását és a víznyelő aknák tisztítását kell elvégezni, mert egyes rendszerek jelen állapotukban funkciójukat ellátni nem tudják. </t>
  </si>
  <si>
    <t>A fő- és tömegközlekedési utak, egyes járdaszakaszok síkosság-mentesítésének biztostása, valamint a téli hómunkálatok fix költsége.</t>
  </si>
  <si>
    <t>A hulladékgazdálkodásról szóló 2000. évi XLIII. törvény 30.§ (2) bekezdésében foglaltak teljesítése.</t>
  </si>
  <si>
    <t xml:space="preserve">Telekértékesítés </t>
  </si>
  <si>
    <t>Vagyonértékesítés áfa tartalma</t>
  </si>
  <si>
    <t>Önkormányzatok sajátos felhalmozási és tőkebevételei</t>
  </si>
  <si>
    <t>Lakásértékesítés bevétele</t>
  </si>
  <si>
    <t>3.</t>
  </si>
  <si>
    <t>Pénzügyi befektetések bevételei</t>
  </si>
  <si>
    <t>IV.</t>
  </si>
  <si>
    <t>Véglegesen átvett pénzeszközök</t>
  </si>
  <si>
    <t>Megszűnt csatornamű társulat lakossági befizetések</t>
  </si>
  <si>
    <t>V.</t>
  </si>
  <si>
    <t>Fiatal házasok lakáshitel törlesztése</t>
  </si>
  <si>
    <t>VI.</t>
  </si>
  <si>
    <t>VII.</t>
  </si>
  <si>
    <t>Bevételek összesen:</t>
  </si>
  <si>
    <t>Támogatásértékű működési bevétel</t>
  </si>
  <si>
    <t>Támogatásértékű felhalmozási bevétel</t>
  </si>
  <si>
    <t>Szolnok belvárosának rehabilitációja</t>
  </si>
  <si>
    <t>Felhalmozási célú pénzeszköz átvétel államháztartáson kívülről</t>
  </si>
  <si>
    <t>Technikai forrásátvételek</t>
  </si>
  <si>
    <t>1.3. Kiegészítő tám a helyi önkorm bérkiadásaihoz</t>
  </si>
  <si>
    <t>Szolnok Megyei Jogú Város</t>
  </si>
  <si>
    <t>adatok Ft-ban</t>
  </si>
  <si>
    <t>Jogcím</t>
  </si>
  <si>
    <t>Hivatk.a tv.3,8.sz. mellékl.jogc.-re</t>
  </si>
  <si>
    <t>Ft/mutató</t>
  </si>
  <si>
    <t>Állami támogatás</t>
  </si>
  <si>
    <t>SZJA</t>
  </si>
  <si>
    <t>Állami hozzájárulás együtt</t>
  </si>
  <si>
    <t>%</t>
  </si>
  <si>
    <t>összeg</t>
  </si>
  <si>
    <t>Település önkormányzatok feladatai</t>
  </si>
  <si>
    <t>Települési-üzemeltetési, igazgatási és sport feladatok</t>
  </si>
  <si>
    <t>1.a.</t>
  </si>
  <si>
    <t>Körzeti igazgatás</t>
  </si>
  <si>
    <t>2.aa.</t>
  </si>
  <si>
    <t>Okmányiroda működési kiadásai</t>
  </si>
  <si>
    <t>2.ab.</t>
  </si>
  <si>
    <t>Gyámügyi igazgatási feladatok</t>
  </si>
  <si>
    <t>2.ac.</t>
  </si>
  <si>
    <t>Lakott külterülettel kapcsolatos feladatok</t>
  </si>
  <si>
    <t>5.</t>
  </si>
  <si>
    <t>Üdülőhelyi feladatok</t>
  </si>
  <si>
    <t>8.</t>
  </si>
  <si>
    <t>Pénzbeni szociális juttatások</t>
  </si>
  <si>
    <t>9.</t>
  </si>
  <si>
    <t>10.</t>
  </si>
  <si>
    <t>Szociális és gyermekjóléti alapszolgáltatás feladatai</t>
  </si>
  <si>
    <t>11.</t>
  </si>
  <si>
    <t>Fogyatékos és demens személyek nappali intézményi ellátása</t>
  </si>
  <si>
    <t>11.l.</t>
  </si>
  <si>
    <t>Szociális és gyermekvédelmi bentlakásos és átmeneti elhelyezés</t>
  </si>
  <si>
    <t>12.</t>
  </si>
  <si>
    <t>Fogyatékos személyek, pszichiátriai és szenvedélybetegek bentlakásos intézményi ellátása</t>
  </si>
  <si>
    <t>Gyermekek napközbeni ellátása</t>
  </si>
  <si>
    <t>14.</t>
  </si>
  <si>
    <t>Bölcsődei ellátás</t>
  </si>
  <si>
    <t>14.a.</t>
  </si>
  <si>
    <t>Ingyenes intézményi étkeztetés</t>
  </si>
  <si>
    <t>14.c.</t>
  </si>
  <si>
    <t>15.</t>
  </si>
  <si>
    <t>Közoktatási kiegészítő hozzájárulások</t>
  </si>
  <si>
    <t>16.</t>
  </si>
  <si>
    <t>Iskolai gyakorlati oktatás, szakképzés (szakmai gyakorlati képzés)</t>
  </si>
  <si>
    <t>16.1.</t>
  </si>
  <si>
    <t>Iskolai gyakorlati oktatás  a szakiskola és szakközépiskola 9-10. évf.</t>
  </si>
  <si>
    <t>16.1.1.</t>
  </si>
  <si>
    <t>Szakmai gyakorlati képzés a szakképzési évfolyamokon</t>
  </si>
  <si>
    <t>16.1.2.</t>
  </si>
  <si>
    <t>1. évfolyamos és többévfolyamos képzés közbenső képzési évfolyamai (szakmai gyakorlati képzés)</t>
  </si>
  <si>
    <t>16.1.2.a.</t>
  </si>
  <si>
    <t>1. évfolyamos képzés ha a képzési idő meghaladja az 1 évet (szakmai gyakorlati képzés)</t>
  </si>
  <si>
    <t>16.1.2.b.</t>
  </si>
  <si>
    <t>Záróévfolyamos képzés ha a képzési idő meghaladja az 1 évet (szakmai gyakorlati képzés)</t>
  </si>
  <si>
    <t>16.1.2.c.</t>
  </si>
  <si>
    <t>Tanulószerződés alapján nem helyi önkormányzati intézményben szervezett gyakorlati képzés (szakmai gyakorlati képzés)</t>
  </si>
  <si>
    <t>16.1.2.d.</t>
  </si>
  <si>
    <t>Zeneművészeti ág</t>
  </si>
  <si>
    <t>16.2.1.</t>
  </si>
  <si>
    <t>Felsőfokú oktatási intézmény hallgatója, illetve érettségiző tanulók részére biztosított szociális jellegű támogatás, melyet ugyanakkora összeggel a felsőoktatási intézmény kiegészít, a megyei önkormányzat pedig kiegészíthet. Az előirányzat biztosítja a 2008. évi forduló "A" típusú nyertes pályázóinak, illetve a korábbi évek "B" típusú nyertes pályázóinak támogatását.</t>
  </si>
  <si>
    <t>Kiegészítő gyermekvédelmi támogatásra az a rendszeres gyermekvédelmi kedvezményben részesülő gyermek gyámjául rendelt hozzátartozó jogosult, aki a gyermek tartására köteles és nyugellátásban, vagy baleseti nyugdíjszerű rendszeres szociális pénzellátásban vagy időskorúak járadékában részesül.</t>
  </si>
  <si>
    <t>A tiszaligeti közművek engedélyes terveinek elkészítése.</t>
  </si>
  <si>
    <t>Városban meglévő kiépítetlen utak szilárd burkolattal történő ellátása.</t>
  </si>
  <si>
    <t>Aszfalt burkolatú utak felületének javítása.</t>
  </si>
  <si>
    <t>Meglévő járdafelületek felújítása</t>
  </si>
  <si>
    <t>Az engedélyes terv elkészítésének támogatása.</t>
  </si>
  <si>
    <t>Beszédfogyatékos, enyhe értelmi fogyatékos, viselkedés fejlődésének organikus okokra visszavezethető, és nem visszavezethető tartós és súlyos rendellenessége miatt sajátos nevelési igényű gyermekek, tanulók (1-8. hó)</t>
  </si>
  <si>
    <t>Hátrányos Helyzetű Tanulók Arany János Tehetséggondozó Programon résztvevők (1-8. hóra)</t>
  </si>
  <si>
    <t>Hátrányos Helyzetű Tanulók Arany János Tehetséggondozó Programon résztvevők (9-12. hóra)</t>
  </si>
  <si>
    <t>Testi, érzékszervi és középsúlyos értelmi fogyatékos, továbbá az autista gyermekek, tanulók (a közoktatási tv. 3. sz mell. II/3. pontja szerint a csoport osztály-szervezésnél 3 főként kell számításba venni)</t>
  </si>
  <si>
    <t>Középiskolába, szakiskolába bejáró tanulók (1-8. hóra)</t>
  </si>
  <si>
    <t>Középiskolába, szakiskolába bejáró tanulók (9-12. hóra)</t>
  </si>
  <si>
    <t xml:space="preserve">Pedagógiai módszerek támogatása Minősített Képző- és iparművészeti, táncművészeti, szín- és bábművészeti ágon ( 9-12. hóra) </t>
  </si>
  <si>
    <t>Hitelek/Kötvény igénybevétel</t>
  </si>
  <si>
    <t>Városrehabilitáció keretében megvalósuló egyéb feladatok</t>
  </si>
  <si>
    <t>54 e. m2 kiemelt kategóriás terület 18 x-i, 255 e. m2 "A" kategóriás terület 8 x-i, 733 e. m2 "B" kategóriás terület 6 x-i, 18 e. m2 "C" kategóriás terület 3 x-i kaszálása, 54 e. m2 kiemelt kategóriás terület 1 x-i gyepszellőztetése, 2 x- i műtrágyázása</t>
  </si>
  <si>
    <t>85 munkanap gallyazási és fakivágási feladatok ellátása, 3.000 m2 sövényfelület 3 x-i visszavágása, 10 e. m2 cserjefelület ifjító metszése</t>
  </si>
  <si>
    <t xml:space="preserve">1.100 db díszfa, 3.000 m2 sövényfelület vegyszeres kezelése, 16.000 m2 burkolt felület gyomírtása, virágágyak, virágedények, virágoszlopok növényvédelme, 2007 évben több kezelést el kellett hagynunk, ezért a keret bővítése szükséges </t>
  </si>
  <si>
    <t xml:space="preserve">2.500 m2 egynyári virágágy beültetése, gondozása, 682 db virágedény és 28 db virágoszlop kihelyezése és gondozása. Virágkiültetési tervek elkészítése. </t>
  </si>
  <si>
    <t>Alkalmazottak élelmezési kidása</t>
  </si>
  <si>
    <t>Pedagógus szakvizsga, továbbképzés támogatása</t>
  </si>
  <si>
    <r>
      <t>Közoktatási alaphozzájárulások</t>
    </r>
    <r>
      <rPr>
        <b/>
        <i/>
        <sz val="11"/>
        <rFont val="Times New Roman"/>
        <family val="1"/>
      </rPr>
      <t xml:space="preserve"> </t>
    </r>
  </si>
  <si>
    <t>Építészeti, Faipari és Környezetgazdálkodási Szakközépiskola Tószegi úti tanműhely bővítése</t>
  </si>
  <si>
    <t xml:space="preserve">I. fejezet </t>
  </si>
  <si>
    <t>5. a. sz. melléklet</t>
  </si>
  <si>
    <t>Kezdés éve</t>
  </si>
  <si>
    <t>Befejezés éve</t>
  </si>
  <si>
    <t>Teljes bekerülési költség</t>
  </si>
  <si>
    <t>Előző  években felhasznált előirányzat</t>
  </si>
  <si>
    <t>További évekre áthúzódó</t>
  </si>
  <si>
    <t>Fejlesztés fedezete</t>
  </si>
  <si>
    <t>Közgyűlési döntés száma</t>
  </si>
  <si>
    <t>Külső forrás</t>
  </si>
  <si>
    <t>Önkormányzati saját bevétel</t>
  </si>
  <si>
    <t>2008. évi ütem</t>
  </si>
  <si>
    <t>külső</t>
  </si>
  <si>
    <t>Képző- és iparművészeti, táncművészeti, szín- és bábművészeti ág</t>
  </si>
  <si>
    <t>16.2.2.</t>
  </si>
  <si>
    <t>Kollégiumi, externátusi nevelés, ellátás</t>
  </si>
  <si>
    <t>16.3.2.</t>
  </si>
  <si>
    <t>16.4.</t>
  </si>
  <si>
    <t>16.4.1.a.</t>
  </si>
  <si>
    <t>16.4.1.c.</t>
  </si>
  <si>
    <t>16.4.1.d.</t>
  </si>
  <si>
    <t>Korai fejlesztés</t>
  </si>
  <si>
    <t>16.4.2.</t>
  </si>
  <si>
    <t>Fejlesztő felkészítés</t>
  </si>
  <si>
    <t>16.4.3.</t>
  </si>
  <si>
    <t>Általános iskolai napközis foglalkozás (1-8. hóra)</t>
  </si>
  <si>
    <t>16.5.a.</t>
  </si>
  <si>
    <t>Iskolaotthonos oktatás általános iskola 1-4. évfolyamán</t>
  </si>
  <si>
    <t>16.5.b.</t>
  </si>
  <si>
    <t>adatok ezer Ft-ban</t>
  </si>
  <si>
    <t>Illeték bevétel</t>
  </si>
  <si>
    <t>Sajátos működési bevétel</t>
  </si>
  <si>
    <t>Egyéb sajátos bevétel</t>
  </si>
  <si>
    <t>adatok millió Ft-ban</t>
  </si>
  <si>
    <t>Hozzájárulások egyes közoktatási intézményeket fenntartó önkormányzatok feladatellátásához</t>
  </si>
  <si>
    <t xml:space="preserve">1. a. sz. melléklet </t>
  </si>
  <si>
    <t xml:space="preserve">1. a. a. sz. melléklet </t>
  </si>
  <si>
    <t>1. b. sz. melléklet</t>
  </si>
  <si>
    <t>1. d. sz. melléklet</t>
  </si>
  <si>
    <t>3. sz. melléklet</t>
  </si>
  <si>
    <t xml:space="preserve">3. a. sz. melléklet </t>
  </si>
  <si>
    <t>4. a.sz. melléklet</t>
  </si>
  <si>
    <t>4. sz. melléklet</t>
  </si>
  <si>
    <t>5. sz. melléklet</t>
  </si>
  <si>
    <t>5. c. sz. melléklet</t>
  </si>
  <si>
    <t>5. d. sz. melléklet</t>
  </si>
  <si>
    <t>5. e. sz. melléklet</t>
  </si>
  <si>
    <t>A 169/2007. (VI.21.) sz. közgyűlési határozatban foglaltak szerint az egészségügyi szakmai program végrehajása.</t>
  </si>
  <si>
    <t>Szolnokiak egészségéért prevenciós célú pénzalap.</t>
  </si>
  <si>
    <t>A városi jegyző által működetett szakértői bizottság támogatása a 340/2008. (XII.15.) Kr. rendelet alapján.</t>
  </si>
  <si>
    <t>Állami hozzájárulás tervezett 2008. évi naturália</t>
  </si>
  <si>
    <t>Bartók Béla Művészetoktatási Intézmény</t>
  </si>
  <si>
    <t>Széchenyi krt-i Ált.Iskola, Sportiskola és Alapfokú Művészetoktatási Intézmény</t>
  </si>
  <si>
    <t>Liget úti Általános Iskola és Előkészítő és Speciális Szakiskola</t>
  </si>
  <si>
    <t>Működési célú pénzeszköz átadás</t>
  </si>
  <si>
    <t>KIADÁSOK ÖSSZESEN :</t>
  </si>
  <si>
    <t>A közvilágítás biztosítása a 1990. évi LXV. Tv. szerint az önkormányzat kötelező feladata. 8250 lpt. 2000Ft/db+ÁFA =19.800.000 Ft. A közvilágítás üzemeltetés az aktiv elemekre vonatkozik.</t>
  </si>
  <si>
    <t xml:space="preserve">A közvilágítás biztosítása az 1990. évi LXV. Tv. szerint az önkormányzat kötelező feladata. </t>
  </si>
  <si>
    <t>Rendszeres szociális segély állapítható meg annak az aktív korú személynek, aki egészségkárosodott vagy nem foglakoztatott vagy támogatott álláskereső, feltéve, hogy megélhetése más módon nem biztosított. A támogatás havi összege családonként más és más.</t>
  </si>
  <si>
    <t>Átmeneti segélyben részesíthető a gyermeket nem nevelő család, ill. egyedül élő személy, aki létfenntartását veszélyeztető élethelyzetbe került és a rendelet jogosultsági feltételeinek megfelel.  Az előirányzat mintegy 1500 esetben teszi lehetővé a kérelmek támogatását.</t>
  </si>
  <si>
    <t xml:space="preserve">Az adósságkezelési szolgáltatás adósságcsökkentési támogatásból és alanyi lakásfenntartási támogatásból áll. Célja a háztartás közüzemi hátralékának csökkentése, megszüntetése az adós közreműködésével. </t>
  </si>
  <si>
    <t>Az első lakáshoz jutó fiatalok támogatása első lakás vásárlásához, építéséhez fiatalok részére adható támogatás. Az előirányzat 90 kérelmező részére biztosít támogatást. A támogatást kérelmezők száma évről évre változik.</t>
  </si>
  <si>
    <t>"Esély a díjhátralékosoknak" Közalapítvány támogatása.</t>
  </si>
  <si>
    <t>Axel-Springer Magyarország Kft.-vel kötött hírdetési szerződés</t>
  </si>
  <si>
    <t>Rendezvények támogatása</t>
  </si>
  <si>
    <t>Szakmai workshopok szervezése külképviselőknek, újságíróknak, hazai és külföldi utazásszervezőknek.</t>
  </si>
  <si>
    <t>Új honlap program és design-terv elkészítése, tárhely biztosítása.</t>
  </si>
  <si>
    <t>Városmarketing kiadványok magyar és idegen nyelven (brossúrák, leporellók, kisfilmek).</t>
  </si>
  <si>
    <t>Nemzetközi együttműködési programok szervezése és lebonyolítása.</t>
  </si>
  <si>
    <t>Turisztikai programok támogatása.</t>
  </si>
  <si>
    <t>Tiszaliget alapközműveinek cseréje (víz, szennyvíz, csapadékvíz, távközlési hálózat, út).</t>
  </si>
  <si>
    <t>A belvárosi rehabilitációhoz tartozó Eötvös téri és Thököly úti körforgalmú csomópontok növényekkel történő beültetése és parkosítása.</t>
  </si>
  <si>
    <t>2006. évben jelentkező jogos igény szerint a tervezés megtörtént, a kivitelezés biztosítja az utca szabvány szerinti megvilágítását.</t>
  </si>
  <si>
    <t xml:space="preserve">A Karczag L. u. 2. sz. alatti épület hasznosításának lehetőségeiről szóló, mód. 207/1999. (XI.18.) sz. Kgy. határozat 1/d. §-a szerint a társasház közös költségének összegét a Közgyűlés a tárgyévi költségvetés elfogadásával egyidejűleg határozza meg. </t>
  </si>
  <si>
    <t>Az önkormányzati tulajdonban lévő (jelenleg 1636 db) lakás állagromlásának megelőzésére és az üzembiztonság érdekében indokolt munkálatok költségeire, valamint a bérbeadót terhelő garanciális munkák elvégzésére biztosít előirányzatot. Plusz felújítási alap</t>
  </si>
  <si>
    <t>A korábban értékesített és vételár-hátralékkal rendelkező lakások kiadásait, valamint a 2008. évben az önkormányzati bérlakások elidegenítésének bonyolítása fedezetét biztosítja.</t>
  </si>
  <si>
    <t>A határozatlan idejű lakásbérlet közös megegyezéssel történő megszűntetése esetén a volt bérlőt a mód. 25/2005.(VI.30.) KR. rendelet 101. §-a szerint a havi lakbér 150-szeresének megfelelő pénzbeni térítés illeti meg.</t>
  </si>
  <si>
    <t>A vegyes tulajdonú társasházakban a társasházi kgy.-ek döntése alapján a bérlakások után az önkormányzatot - mint tulajdonost - terhelő fizetési kötelezettség.</t>
  </si>
  <si>
    <t>GYT, VDT működtetése; Ováció; 24 órás vetélkedő; Színjátszókörök találkozója; Rockzenekarok találkozója; VII. Generáció Kupa</t>
  </si>
  <si>
    <t xml:space="preserve">28/2003. KR.; 120/2007. SZES Biz. hat. Sport célú támogatás </t>
  </si>
  <si>
    <t>Olaj KK eredményességi és alaptámogatása 282/2006. Kgy.hat.</t>
  </si>
  <si>
    <t>Szolnok MÁV Fc Kft. Labdarúgó Klub</t>
  </si>
  <si>
    <t>Szolnoki Női Kosárlabda Klub Kft.</t>
  </si>
  <si>
    <t>Bizalom Mentálhigiénés Egyesület működésének támogatása</t>
  </si>
  <si>
    <t xml:space="preserve">Kötelező tüdőszűrő vizsgálattal kapcsolatos dologi kiadások a 22/1991. (I.28.)  Korm.rendelet 8. § e.) pontja alapján </t>
  </si>
  <si>
    <t>Foglalkozás-egészségügyi feladatok</t>
  </si>
  <si>
    <t>Az Önkormányzati és Szociális törvényben meghatározott, kötelezően és önként vállalható szociális feladatokhoz kiegészítő források biztosítása. Szolnok városban megvalósítandó szociális szakmai programok, folyó naptári évi egyszeri támogatása.</t>
  </si>
  <si>
    <t>A Civil Szolgáltató Központ működtetésének támogatása.</t>
  </si>
  <si>
    <t>Pro Caritate Díj 1/2007. (II.1.) KR rendelet alapján pénzjutalom, emlékplakett, oklevél, állófogadás, hírdetés, valamint a díj adományozásával kapcsolatos költségek.</t>
  </si>
  <si>
    <t>Kisgyermekes családok helyi tömeg-közlekedési támogatása</t>
  </si>
  <si>
    <t>Kiegészítő gyermekvédelmi támogatás</t>
  </si>
  <si>
    <t>Tiszaliget infrastrukturális fejlesztése terv</t>
  </si>
  <si>
    <t>Tűzoltóság szerállományának bővítése</t>
  </si>
  <si>
    <t>Intézményi felújítások előkészítése</t>
  </si>
  <si>
    <t xml:space="preserve">A gyermekek védelméről szóló törvény rendelkezései szerint az oktatási-nevelési intézményekben ellátott gyermekek élelmezéséhez az Önkormányzat támogatást nyújt.  </t>
  </si>
  <si>
    <t>Pálfy János Műszeripari és Vegyipari Szakközépiskola összesen:</t>
  </si>
  <si>
    <t>Kereskedelmi és Vendéglátóipari Szakközép - és Szakiskola</t>
  </si>
  <si>
    <t>Ruhaipari Szakközép - és Szakiskola</t>
  </si>
  <si>
    <t>Városi Kollégium összesen:</t>
  </si>
  <si>
    <t>Remondis Szolnok ZRt. hulladékszállítási költségkompenzáció</t>
  </si>
  <si>
    <t>Szolnok Városi Televízió támogatása</t>
  </si>
  <si>
    <t>Fiumei úti Általános Iskola összesen:</t>
  </si>
  <si>
    <t xml:space="preserve">    koncessziós díj bevétel  VCSM ZRt.</t>
  </si>
  <si>
    <t>V. Támogatási kölcsönök visszatérülése, értékpapírok értékesítésének, kibocsátásának bevétele</t>
  </si>
  <si>
    <t>Kőrösi Csoma Sándor Általános Iskola és Konstantin Alapfokú Művészetoktatási Int.</t>
  </si>
  <si>
    <t xml:space="preserve">           - Bartók Béla Kamarakórus támogatása</t>
  </si>
  <si>
    <t>Ebből:  - Szolnoki Szimfonikus Zenekar támogatása</t>
  </si>
  <si>
    <t>8. sz. melléklet</t>
  </si>
  <si>
    <t>I. hó</t>
  </si>
  <si>
    <t>II. hó</t>
  </si>
  <si>
    <t>III. hó</t>
  </si>
  <si>
    <t>IV. hó</t>
  </si>
  <si>
    <t>V. hó</t>
  </si>
  <si>
    <t>VI. hó</t>
  </si>
  <si>
    <t>VII. hó</t>
  </si>
  <si>
    <t>VIII. hó</t>
  </si>
  <si>
    <t>IX. hó</t>
  </si>
  <si>
    <t>X. hó</t>
  </si>
  <si>
    <t>XI. hó</t>
  </si>
  <si>
    <t>XII. hó</t>
  </si>
  <si>
    <t>Február</t>
  </si>
  <si>
    <t>Március</t>
  </si>
  <si>
    <t xml:space="preserve">                Idegenforgalmi adó</t>
  </si>
  <si>
    <t xml:space="preserve">                Pótlék, bírság     </t>
  </si>
  <si>
    <t>3. Cigány kisebbségi önkormányzat átvett pénzeszköz</t>
  </si>
  <si>
    <t>Bizottság hatáskörébe utalt támogatások.</t>
  </si>
  <si>
    <t>A kistérségi szinten ellátott szociális, valamint az egészségügyi alapellátási feladatok biztosítása.</t>
  </si>
  <si>
    <t>Törvény által meghatározott az önkormányzatra háruló köztemetési feladatok ellátása.</t>
  </si>
  <si>
    <t>Szív és Érrendszeri Betegek Rehabilitációs Egyesülete</t>
  </si>
  <si>
    <t>Dr. Kálmándi Mihály díj adományozása 34/1994.(X.5.) KR. sz. rendeletben foglaltak szerint</t>
  </si>
  <si>
    <t xml:space="preserve">Az intézményi felújítások megvalósításához szükséges pályázatok előkészítése. </t>
  </si>
  <si>
    <t>Az Ipari Parkba betelepülő vállalkozások részére infrastruktúra biztosítása.</t>
  </si>
  <si>
    <t>Az előirányzat mintegy 50 db pad és 50 db hulladékgyűjtő kihelyezését teszi lehetővé.</t>
  </si>
  <si>
    <t>2008. évben 145 db előnevelt, földlabdás díszfa elültetése Széchenyi városrészben, a volt szovjet laktanya területén kialakított lakóterületen, a Rákóczi úton, Széchenyi utcában.</t>
  </si>
  <si>
    <t>A Közgyűlési döntés alapján jelentkező feladatok ellátása.</t>
  </si>
  <si>
    <t>I. fejezet</t>
  </si>
  <si>
    <t>II. fejezet</t>
  </si>
  <si>
    <t>Aranyi S. úti óvoda akadálymentesítése</t>
  </si>
  <si>
    <t>Integrált Városfejlesztési Stratégia - roma telep - tervezés</t>
  </si>
  <si>
    <t>Integrált Városfejlesztési Stratégia - Széchenyi lakótelep - tervezés</t>
  </si>
  <si>
    <t>Intelligens utastájékoztató</t>
  </si>
  <si>
    <t>EAOP 4.1.3. -Szociális intézmények fejlesztése - A szociális alapszolgáltatás körébe tartozó fogyatékos nappali intézményének építése</t>
  </si>
  <si>
    <t>EAOP 4.1.3. -Szociális intézmények fejlesztése (Bölcsődei Igazgatóság Kolozsvári úti bölcsődéjének felújítása)</t>
  </si>
  <si>
    <t>EAOP 4.1.3. -Szociális intézmények fejlesztése (Bölcsődei Igazgatóság Jósika úti bölcsődéjének és az Igazgatóság épületének felújítása.)</t>
  </si>
  <si>
    <t>TIOP 3.1.1. -TISZK rendszerhez kapcsolódó infrastrukturális fejlesztések (támogatási arány 50-90%)</t>
  </si>
  <si>
    <t>TIOP 1.2.1. -az Agóra- multifunkcionális közösségi központok és területi közművelődési tanácsadó szolgálat infrastrukturális feltételeinek kialakítása</t>
  </si>
  <si>
    <t>EAOP 4.1.3. -Szociális intézmények fejlesztése (A szociális alapszolgáltatás körébe tartozó nappali ellátás, házi segítségnyújtás) Thököly u. körzetében</t>
  </si>
  <si>
    <t>EAOP 4.1.3. -Szociális intézmények fejlesztése (A szociális alapszolgáltatás körébe tartozó nappali ellátás, házi segítségnyújtás) Széchenyi városrész</t>
  </si>
  <si>
    <t>Felújítások összesen:</t>
  </si>
  <si>
    <t xml:space="preserve">Egészségügyi prevenciós feladatok </t>
  </si>
  <si>
    <t xml:space="preserve">Utazás 2008. és egyéb kiállításokon történő megjelenés. </t>
  </si>
  <si>
    <t>Szolnok és Térsége Turizmusáért Egyesület részére hozzájárulás</t>
  </si>
  <si>
    <t>SZMJV Önkormányzat Hivatásos Tűzoltósága 1 db gyorsbeavatkozó országúti gépjármű és 1 db vízszállító gépjármű beszerzésére nyújtott be pályázatot. Az előirányzat a beszerzéshez szükséges önerőt biztosítja.</t>
  </si>
  <si>
    <t>A Városházi épületfelújítási program 2008. évre tervezett feladatainak megvalósítása.</t>
  </si>
  <si>
    <t xml:space="preserve">Az év közben jelentkező hálózatfejlesztési igények kielégítése. </t>
  </si>
  <si>
    <t>Szakmunkástanulók gyakorlati képzési helyének bővítése.</t>
  </si>
  <si>
    <t>Az uszoda vízellátását biztosító rendszerek és a medence felújítása.</t>
  </si>
  <si>
    <t xml:space="preserve">A szakmai bizottság által meghatározott program végrehajtása. </t>
  </si>
  <si>
    <t>A körzeti egészségügyi ellátás kultúrált feladtainak javítása érdekében történő ingatlan vásárlása.</t>
  </si>
  <si>
    <t xml:space="preserve">A terület közbiztonságának fokozásához szükséges infrastruktúrális fejlesztés. </t>
  </si>
  <si>
    <t xml:space="preserve">A város közalkalmazotti és köztisztviselői részére létrehozott támogatási alap, mely a foglalkoztatottak lakásvásárlási, építési, felújítási feladataihoz nyújt támogatást külön szabályozás szerint. </t>
  </si>
  <si>
    <t>Az önkormányzati tulajdonban lévő lakások kezelését a mód. 25/2005.(VI.30.) KR. rendelet 88. §-a, valamint az évente aktualizált megbízási szerződés alapján végzi a SZOLLAK Kft. A kezelési díj az üzemeltetéssel összefüggő kezelési költségek fedezetét biztosítja.</t>
  </si>
  <si>
    <t>Tulajdoni viszonyok rendezése</t>
  </si>
  <si>
    <t>A költségvetési rendeletben meghatározottak szerinti feladatok tartaléka</t>
  </si>
  <si>
    <t>Idősügyi Tanács (nyugdíjas szervezetek) támogatása</t>
  </si>
  <si>
    <t>4. Lengyel kisebbségi önkormányzat átvett pénzeszköz</t>
  </si>
  <si>
    <t>PH</t>
  </si>
  <si>
    <t>BEVÉTEL-KIADÁS EGYENLEG:</t>
  </si>
  <si>
    <t>Felhalmozás</t>
  </si>
  <si>
    <t>Ruhaipari Szakközép- és Szakiskola</t>
  </si>
  <si>
    <t>terv</t>
  </si>
  <si>
    <t>vállalt kötelezettségei célok szerinti és évenkénti bontásban</t>
  </si>
  <si>
    <t>Sor-
szám</t>
  </si>
  <si>
    <t xml:space="preserve"> beruházási kötelezettségei célok szerinti és évenkénti bontásban</t>
  </si>
  <si>
    <t>Beruházás  megnevezése</t>
  </si>
  <si>
    <t>Teljes költség</t>
  </si>
  <si>
    <t>Kivitelezés kezdési és befejezési éve</t>
  </si>
  <si>
    <t>2009. évi szükséglet</t>
  </si>
  <si>
    <t>Beruházások összesen:</t>
  </si>
  <si>
    <t>xxxxxx</t>
  </si>
  <si>
    <t>felújítási kötelezettségei célok szerinti és évenkénti bontásban</t>
  </si>
  <si>
    <t>Felújítás  megnevezése</t>
  </si>
  <si>
    <t>egyéb felhalmozási kiadásai célok szerinti és évenkénti bontásban</t>
  </si>
  <si>
    <t>Beruházás, felújítás megnevezése</t>
  </si>
  <si>
    <t>Kiadási főösszeg</t>
  </si>
  <si>
    <t>Forrásszerkezet</t>
  </si>
  <si>
    <t>Címzett,  céltámogatás, egyéb támogatás</t>
  </si>
  <si>
    <t>Európai Uniós előcsatlakozási alap</t>
  </si>
  <si>
    <t>Átvett pénzeszköz</t>
  </si>
  <si>
    <t xml:space="preserve">Saját forrás </t>
  </si>
  <si>
    <t>2008. évi költségvetési kiadásainak szöveges leírása</t>
  </si>
  <si>
    <t>2008. évi terv</t>
  </si>
  <si>
    <t>Buszöblök, buszmegállók felújítása</t>
  </si>
  <si>
    <t xml:space="preserve">Buszöblök, buszmegállók 2009. évi felújítása </t>
  </si>
  <si>
    <t>2011. év</t>
  </si>
  <si>
    <t>Évfordulók, versenyek</t>
  </si>
  <si>
    <t>Létszám-csökkentés</t>
  </si>
  <si>
    <t>Nyugdíjazás miatti többlet igény</t>
  </si>
  <si>
    <t>Széchenyi krt-i Általános Iskola, Sportiskola és Alapfokú Művészetoktatási Intézmény</t>
  </si>
  <si>
    <t>Gépipari, Közlekedési Szakközépiskola és Szakiskola</t>
  </si>
  <si>
    <t>Kettős foglalkoztatás            (gyes-gyed)</t>
  </si>
  <si>
    <t xml:space="preserve">Művészet-oktatás </t>
  </si>
  <si>
    <t>Polgármesteri Hivatal Ellátó és Szolgáltató Szervezet</t>
  </si>
  <si>
    <t>Vásárhelyi Pál Közgazdasági és Idegenforgalmi, Két Tanítási Nyelvű Szakközépiskola</t>
  </si>
  <si>
    <t>II. Rákóczi Ferenc Általános Iskola</t>
  </si>
  <si>
    <t>SZMJV Önkormányzat Hivatásos Tűzoltóság</t>
  </si>
  <si>
    <t>2. a. sz. melléklet</t>
  </si>
  <si>
    <t>Széchenyi krt-i Ált. Isk., Sportiskola és Alapf.Művokt.Int.</t>
  </si>
  <si>
    <t>SZMJV Önk. Hivatásos Tűzoltóság</t>
  </si>
  <si>
    <t xml:space="preserve">Mester úti volt laktanya megvalósíthatósági tanulmány felülvizsgálata </t>
  </si>
  <si>
    <t>EGT, Norvég Alap Környezeti nevelés</t>
  </si>
  <si>
    <t>Körforgalmak kertészeti rendezése</t>
  </si>
  <si>
    <t>Tiszaliget termálfürdő</t>
  </si>
  <si>
    <t xml:space="preserve">Gyalogos híd </t>
  </si>
  <si>
    <t>Települési szilárdhulladék-lerakókat érintő térségi szintű rekultivációs programok elvégzése (4 db)</t>
  </si>
  <si>
    <t>Meglévő utak felújítása TEUT 2008. év (Kőrösi út)</t>
  </si>
  <si>
    <t>Tiszaligeti körgát</t>
  </si>
  <si>
    <t>Jósika úti óvoda fejlesztése</t>
  </si>
  <si>
    <t>Városi Kollégium fejlesztése</t>
  </si>
  <si>
    <t>Varga Katalin Gimnázium fejlesztése</t>
  </si>
  <si>
    <t>Érdekeltségi hozzájárulási díj teljesítése, csatorna karbantartása, vízmentesítési problémák megoldása.</t>
  </si>
  <si>
    <t>Tervek megrendelése, igazgatási szolgáltatási díj fizetése, vis major pályázati költségek kifizetése, egyéb nem várt feladatok megrendelése.</t>
  </si>
  <si>
    <t>Egyéb, az egészségügyi és gyermekvédelmi területet érintő, előre nem tervezehető kiadások, továbbá rendezvények, egyéb programok támogatása. Az egészségügyi alapellátás fejlesztéséhez kapcsolódó szakértői díjak, tervek, esetleges tervezői díjak.</t>
  </si>
  <si>
    <t>Belvízvédelem</t>
  </si>
  <si>
    <t>Képző- és iparművészeti, táncművészeti, szín- és bábművészeti ág 1-8. hóra Minősített intézményben</t>
  </si>
  <si>
    <t>Képző- és iparművészeti, táncművészeti, szín- és bábművészeti ág 9-12.hóra</t>
  </si>
  <si>
    <t>5-8. évfolyamos napközis/tanulószobai foglalkoztatás 9-12. hóra</t>
  </si>
  <si>
    <t>1-2. évfolyamos iskolaotthonos oktatás 9-12. hóra</t>
  </si>
  <si>
    <t>3. évfolyamos iskolaotthonos oktatás 9-12 hóra</t>
  </si>
  <si>
    <t>4. évfolyamos iskolaotthonos oktatás 9-12. hóra</t>
  </si>
  <si>
    <t>Fogyatékos tanulók, akik tanulmányi kötelezettségüket a rehabilitációs bizottság szakvéleménye alapján magántanulóként teljesítik, továbbá azon nem fogyatésok tanulók, akik orvosi igazolás alapján magántanulók legalább heti 8 tanítási órában</t>
  </si>
  <si>
    <t>Kiegészítő hozzájárulás a rendszeres gyermekvédelmi kedvezményben részesülő 5. évfolyamos általános iskolai tanulók ingyenes étkeztetéséhez</t>
  </si>
  <si>
    <t>Alapfokú Művészetoktatás zeneművészeti ág 1-8. hóra</t>
  </si>
  <si>
    <t>Alapfokú Művészetoktatás zeneművészeti ág 9-12. hónapra</t>
  </si>
  <si>
    <t>Bartók Béla Alapfokú Művészetoktatási Intézmény összesen:</t>
  </si>
  <si>
    <t>Képző- és iparművészeti, táncművészeti, szín- és bábművészeti ág 1-8. hóra Nem minősített intézményben</t>
  </si>
  <si>
    <t>II.Rákóczi Ferenc Általános Iskola</t>
  </si>
  <si>
    <t>II.Rákóczi Ferenc Általános Iskola összesen:</t>
  </si>
  <si>
    <t>Felzárkóztató 9. évfolyam, szakiskola, szakközépiskola első szakképzési évfolyama(2007/2008. tanév)</t>
  </si>
  <si>
    <t>Széchenyi István Gimnázium és Általános Iskola</t>
  </si>
  <si>
    <t>Gépipari,Közlekedési Szakközép- és Szakiskola összesen:</t>
  </si>
  <si>
    <t>Épitészeti, Faipari és Környezetgazdálkodási Szakkközép- és Szakiskola</t>
  </si>
  <si>
    <t>Épitészeti, Faipari és Környezetgazdálkodási Szakkközép- és Szakiskola összesen:</t>
  </si>
  <si>
    <t>Kollégiumi, diákotthoni lakhatási feltételek megteremtése</t>
  </si>
  <si>
    <t>Szolnok Városi Pedagógiai Szakszolgálat összesen:</t>
  </si>
  <si>
    <t>Kistérségi feladatok támogatása</t>
  </si>
  <si>
    <t xml:space="preserve">Rendszeres nevelési segélyre jogosult a gyermek a rendeletben szabályzott feltételek fennállása esetén. A támogatás összege az öregségi nyugdíj mindenkori legkisebb összegének 20%-a. Az előirányzat 210 család/380 gyermek támogatását teszi lehetővé. </t>
  </si>
  <si>
    <t>Rendkívüli gyermekvédelmi támogatás adható annak a gyermeknek, akinek családja létfenntartását veszélyeztető élethelyzetbe került és a rendelet jogosultsági feltételeinek megfelel. Az előrányzat mintegy 2800 gyermek támogatását teszi lehetővé.</t>
  </si>
  <si>
    <t>Magyar Közgazdasági Társaság</t>
  </si>
  <si>
    <t>Szolnoki Többcélú Kistérség Társulás</t>
  </si>
  <si>
    <t>SALDO ZRt.</t>
  </si>
  <si>
    <t>Hozam ZRt.</t>
  </si>
  <si>
    <t>ETK Szolgáltató ZRt.</t>
  </si>
  <si>
    <t>Szent- Györgyi Albert Általános Iskola akadálymentesítése</t>
  </si>
  <si>
    <t>"Liget Otthon" Fogyatékos Személyek Ápoló, Gondozó Otthona és Nappali Intézménye akadálymentesítése</t>
  </si>
  <si>
    <t>Szandaszőlősi Általános Iskola, Művelődési Ház és Alapfokú Művészetoktatási Intézmény fejlesztése</t>
  </si>
  <si>
    <t>Széchenyi István Gimnázium és Általános Iskola fejlesztése</t>
  </si>
  <si>
    <t>Fiumei úti Általános Iskola fejlesztése</t>
  </si>
  <si>
    <t>Építészeti, Faipari és Környezetgazdálkodási Szakközépiskola akadálymentesítése</t>
  </si>
  <si>
    <t>Egyesített Szoc. Intézmény Kaán K. úti épületének akadálymentesítése</t>
  </si>
  <si>
    <t>Munkácsy úti óvoda bővítése</t>
  </si>
  <si>
    <t>A város területén meglévő jelzőlámpás csomópontok és azok tartozékainak üzemeltetése és fenntartása.</t>
  </si>
  <si>
    <t xml:space="preserve">Szivattyúk, levezető csatornák és más műtárgyak üzemeltetése, fenntartása, üzemképesség és készenlét biztosítása. Csapadékvíz akadálytalan lefolyásának biztosítása, a város egyes területei csapadékvíz, illetve belvíz általi elöntésének megakadályozása. </t>
  </si>
  <si>
    <t>Kötelező növényvédelmi védekezés</t>
  </si>
  <si>
    <t>A közhasznú foglalkoztatás személyi és tárgyi feltételeinek megteremtése a feladathoz kapcsolódó állami támogatás felhasználásával.</t>
  </si>
  <si>
    <t>A polgári védelem speciális szakmai feladatai ellátásához év közben felmerülő szükségletek fedezete.</t>
  </si>
  <si>
    <t>Remondis Szolnok ZRt. hulladékszállítási  költség kompenzáció</t>
  </si>
  <si>
    <t>Egészségügyi prevenciós feladatok</t>
  </si>
  <si>
    <t>EAOP 4.1.4. -Közösségi és rekreációs intézmények fejlesztése Szandaszőlős Művelődési Ház</t>
  </si>
  <si>
    <t>EAOP 4.1.3. -Szociális intézmények fejlesztése. A településeken működő illetve kistérségi szinten  működtetett szociális alapszolgáltatások technikai hátterének megteremtése</t>
  </si>
  <si>
    <t xml:space="preserve">Alkalmazottak térítései </t>
  </si>
  <si>
    <t>Kiemelt előirányzat: Gyermekélelmezési kiadások</t>
  </si>
  <si>
    <t>SZMJ V Önkormányzatának Intézményszolgálata</t>
  </si>
  <si>
    <t>2. b. a. sz. melléklet</t>
  </si>
  <si>
    <t>Normatív gyermekélelmezési kedvezmény</t>
  </si>
  <si>
    <t>Szociális rendezvények</t>
  </si>
  <si>
    <t>Hulladékkezelési díjtámogatás</t>
  </si>
  <si>
    <t>Intézmény megnevezése</t>
  </si>
  <si>
    <t>Szabadidősport céljára alkalmas városi sportpályák felújítása</t>
  </si>
  <si>
    <t>Településfejlesztési koncepció</t>
  </si>
  <si>
    <t>Városháza épületfelújítás</t>
  </si>
  <si>
    <t>Városháza fűtéskorszerűsítés</t>
  </si>
  <si>
    <t>Integrált pénzügyi rendszer</t>
  </si>
  <si>
    <t>2008. évi javaslat</t>
  </si>
  <si>
    <t>2008. évi egyes bevételeinek  össszefoglalója</t>
  </si>
  <si>
    <t>2008. évi költségvetési bevételeinek és kiadásainak mérlege</t>
  </si>
  <si>
    <t>2008. évi hitelfelvételi lehetősége</t>
  </si>
  <si>
    <t>2008. évi költségvetési kiadási előirányzatainak összefoglalója</t>
  </si>
  <si>
    <t>Ipari Park közműépítése</t>
  </si>
  <si>
    <t>Óvodai játszóterek felújítása, karbantartása</t>
  </si>
  <si>
    <t>Orvosi rendelő vásárlás</t>
  </si>
  <si>
    <t>Ágazati  feladatok céltartaléka</t>
  </si>
  <si>
    <t>Fejlesztési feladatok céltartaléka</t>
  </si>
  <si>
    <t>Áfa visszatérülés</t>
  </si>
  <si>
    <t>Induló beruházások</t>
  </si>
  <si>
    <t>Beruházási hitel 2004. (áthúzódó)</t>
  </si>
  <si>
    <t>Széchenyi Gimn.tornacsarnok MFB</t>
  </si>
  <si>
    <t xml:space="preserve">Útépítések 2005. </t>
  </si>
  <si>
    <t>Átvett csatorna társulati hitelek</t>
  </si>
  <si>
    <t>Kórház környéke</t>
  </si>
  <si>
    <t>Thököly út és környéke</t>
  </si>
  <si>
    <t>Kezességvállalás:</t>
  </si>
  <si>
    <t>Adósságszolgálat</t>
  </si>
  <si>
    <t>Beruházási hitel</t>
  </si>
  <si>
    <t>VI. ütem csatornaépítés</t>
  </si>
  <si>
    <t>Városüzemeltetési feladatok</t>
  </si>
  <si>
    <t>Út-híd</t>
  </si>
  <si>
    <t>Útfenntartás</t>
  </si>
  <si>
    <t>Járdafenntartás</t>
  </si>
  <si>
    <t>Kerékpárút fenntartás</t>
  </si>
  <si>
    <t>Forgalomszabályozás</t>
  </si>
  <si>
    <t>Földutak fenntartása</t>
  </si>
  <si>
    <t>Padka és árokrendezés</t>
  </si>
  <si>
    <t>Jelzőlámpás forgalomszabályozás üzemeltetése</t>
  </si>
  <si>
    <t>Burkolatjel festés</t>
  </si>
  <si>
    <t>Forgalmi rend felülvizsgálat által meghatározott feladatok</t>
  </si>
  <si>
    <t>Autóbusz öblök felújítása</t>
  </si>
  <si>
    <t>Cigány</t>
  </si>
  <si>
    <t>Lengyel</t>
  </si>
  <si>
    <t>Kisebbség</t>
  </si>
  <si>
    <t>Gyermek és ifjúsági feladatok támogatása</t>
  </si>
  <si>
    <t>Parkfenntartás és virágosítás</t>
  </si>
  <si>
    <t>Kiemelt kategóriás parkfelületek fenntartása</t>
  </si>
  <si>
    <t>Pázsitgondozás</t>
  </si>
  <si>
    <t>Fák, cserjék és sövényfelületek gondozása</t>
  </si>
  <si>
    <t>Növényvédelem</t>
  </si>
  <si>
    <t>Erdőápolás</t>
  </si>
  <si>
    <t>Virágosítás</t>
  </si>
  <si>
    <t>Öntözés</t>
  </si>
  <si>
    <t>Meglévő játszóterek üzemeltetése, karbantartása</t>
  </si>
  <si>
    <t>Vízkárelhárítás</t>
  </si>
  <si>
    <t>Árvízvédelmi töltés fenntartás</t>
  </si>
  <si>
    <t>Belvízvédelmi létesítmények üzemeltetése</t>
  </si>
  <si>
    <t>Belvízcsatorna, árokfenntartás</t>
  </si>
  <si>
    <t>TIOP 1.1.1. -A pedagógiai, módszertani reformot támogató informatikai infrastruktura fejlesztése</t>
  </si>
  <si>
    <t>EAOP 4.1.4. -Közösségi és reklarációs intézmények fejlesztése "Zöld Ház-Széchenyi lakótelepen"</t>
  </si>
  <si>
    <t>TIOP 3.4.2. -Bentlakásos intézmények korszerűsítése (Műemlék jellegű épület kiváltása - Eötvös téri idős otthon kiváltása (minimum szükséglet 60 fő, elhelyezéséhez, 600 m²)</t>
  </si>
  <si>
    <t>265/2007. (XI.29.) Kgy. hat.</t>
  </si>
  <si>
    <t>266/2007. (XI.29.) Kgy. hat.</t>
  </si>
  <si>
    <t>253/2007. (XI.15.) Kgy. hat.</t>
  </si>
  <si>
    <t>252/2007. (XI.15.) Kgy. hat.</t>
  </si>
  <si>
    <t>304/2007. (XI.13.) Kgy. hat.</t>
  </si>
  <si>
    <t>295/ 2007. (XI.29.) Kgy. hat.</t>
  </si>
  <si>
    <t>296 /2007. (XI.29.) Kgy. hat.</t>
  </si>
  <si>
    <t>297/ 2007. (XI.29.) Kgy. hat.</t>
  </si>
  <si>
    <t>298/ 2007. (XI.29.) Kgy. hat.</t>
  </si>
  <si>
    <t>299/ 2007. (XI.29.) Kgy. hat.</t>
  </si>
  <si>
    <t>300/ 2007. (XI.29.) Kgy. hat.</t>
  </si>
  <si>
    <t>301/ 2007. (XI.29.) Kgy. hat.</t>
  </si>
  <si>
    <t>302/ 2007. (XI. 29.) Kgy. hat.</t>
  </si>
  <si>
    <t>303/2007. (XII.13.) Kgy. hat.</t>
  </si>
  <si>
    <t>193/ 2007. (VIII.28.) Kgy. hat.</t>
  </si>
  <si>
    <t>192/ 2007. (VIII.28.) Kgy. hat.</t>
  </si>
  <si>
    <t>191/ 2007. (VIII.28.) Kgy. hat.</t>
  </si>
  <si>
    <t>194/ 2007. (VIII.28.) Kgy. hat.</t>
  </si>
  <si>
    <t>268/2007. (XI.29.) Kgy. hat.</t>
  </si>
  <si>
    <t>hitel és kötvényállománya, a visszafizetések ütemezése, valamint kezességvállalása, célok szerinti és évenkénti bontásban</t>
  </si>
  <si>
    <t>Szolnok Megyei Jogú Város Önkormányzat intézményeinek</t>
  </si>
  <si>
    <t>Szociális szakvizsga, továbbképzés támogatása</t>
  </si>
  <si>
    <t>SZMJV Önkormányzata Egészségügyi és Bölcsődei Igazgatósága</t>
  </si>
  <si>
    <t>"Liget Otthon" Fogyatékos Személyek Ápoló Gondozó Otthona</t>
  </si>
  <si>
    <t>Beszédfogyatékos, enyhe értelmi fogyatékos, viselkedés fejlődésének organikus okokra visszavezethető, és nem visszavezethető tartós és súlyos rendellenessége miatt sajátos nevelési igényű gyermekek, tanulók</t>
  </si>
  <si>
    <t>Kodály Zoltán Ének-Zenei Általános Iskola és Tallinn Alapfokú Művészetoktatási Intézmény</t>
  </si>
  <si>
    <t>Iskolai oktatás 2-3. évfolyam (2007/2008. tanév)</t>
  </si>
  <si>
    <t>Iskolai oktatás 5. évfolyam (2007/2008. tanév)</t>
  </si>
  <si>
    <t>Iskolai oktatás 7-8. évfolyam (2008/2009.tanév)</t>
  </si>
  <si>
    <t>Általános iskolai napközis foglalkozás 1-8. hóra</t>
  </si>
  <si>
    <t>Kodály Zoltán Ének-Zenei Általános Iskola és Tallinn Alapfokú Művészetoktatási Intézmény összesen:</t>
  </si>
  <si>
    <t>Pedagógiai módszerek támogatása Minősített Alapfokú Művészetoktatáson zeneművészeti ág 9-12. hóra</t>
  </si>
  <si>
    <t>Széchenyi krt-i Általános Iskola, Sportiskola és Alapfokú Művészetoktatási Intézmény összesen:</t>
  </si>
  <si>
    <t xml:space="preserve">Pedagógiai módszerek támogatása Minősített Képző- és iparművészeti, táncművészeti, szín- és bábművészeti ágon  9-12. hóra </t>
  </si>
  <si>
    <t>SZMJV Önkormányzat Egészségügyi és Bölcsődei Igazgatósága összesen:</t>
  </si>
  <si>
    <t>Fogyatékos személyek bentlakásos intézményi ellátása</t>
  </si>
  <si>
    <t>M I N D Ö S S Z E S E N:</t>
  </si>
  <si>
    <t>Alapfokú művészetoktatás (9-12. hóra) nem minősített intézményben</t>
  </si>
  <si>
    <t>xxxxx</t>
  </si>
  <si>
    <t>Szandaszőlősi Átl.Isk.M.H. és A.M.I.</t>
  </si>
  <si>
    <t>Kodály Z.Ének-Z. Tag.Á.I.</t>
  </si>
  <si>
    <t>Mátyás kir.Ált.Isk. és Af.M.Int.</t>
  </si>
  <si>
    <t>Kőrösi Cs.S.Általános Isk.</t>
  </si>
  <si>
    <t>VII. Kötvény kamat igénybevétel</t>
  </si>
  <si>
    <t xml:space="preserve">Egészségügyi szakmai program végrehajtása </t>
  </si>
  <si>
    <t>Tisza Táncegyüttes</t>
  </si>
  <si>
    <t>Felhasználás
2007. XII. 31-ig</t>
  </si>
  <si>
    <t>2008. évi előirányzat</t>
  </si>
  <si>
    <t>2010. évi szükséglet</t>
  </si>
  <si>
    <t>2011. év utáni szükséglet</t>
  </si>
  <si>
    <t xml:space="preserve">Szolnok belvárosának rehabilitációja </t>
  </si>
  <si>
    <t xml:space="preserve">2008. </t>
  </si>
  <si>
    <t>2007. évi teljesítés</t>
  </si>
  <si>
    <t xml:space="preserve"> 2008. évi felhalmozási célú feladatainak forrásszerkezete </t>
  </si>
  <si>
    <t>2008. előtti kifizetés</t>
  </si>
  <si>
    <t xml:space="preserve"> 2008.  évi előirányzat-felhasználási ütemterve havi bontásban</t>
  </si>
  <si>
    <t>2010. év</t>
  </si>
  <si>
    <t xml:space="preserve"> költségvetési mérlege 2006-2010. évekre</t>
  </si>
  <si>
    <t xml:space="preserve"> által adott közvetett támogatások 2008. évben</t>
  </si>
  <si>
    <t>Szolnok Megyei Jogú Város Polgármesteri Hivatala</t>
  </si>
  <si>
    <t>Széchenyi I. Gimnázium  és Általános Iskola tornacsarnok MFB</t>
  </si>
  <si>
    <t>Útépítések 2005. OTP-MFB</t>
  </si>
  <si>
    <t>Beruházási hitel 2006. CIB</t>
  </si>
  <si>
    <t>A város területén meglévő kerékpárút hálózaton a megfelelő üzemeltetési szint biztosításához szükséges karbantartási, fenntartási munkák elvégzése.</t>
  </si>
  <si>
    <t>Szilárd burkolatú utak és földutak vízelvezetésének megoldása, meglévő csapadékvíz elvezető és szikkasztó rendszerű árkok állagfenntartása. Földpadkák és nemesített padkák karbantartása, valamint kialakítása.</t>
  </si>
  <si>
    <t>Iskolai oktatás 9-10. évfolyamon (2008/2009. tanév)</t>
  </si>
  <si>
    <t>Iskolai oktatás 11-13. évfolyamon (2008/2009. tanév)</t>
  </si>
  <si>
    <t>Hátrányos Helyzetű Tanulók Arany János Tehetséggondozó Programon résztvevők 1-8.hónapra</t>
  </si>
  <si>
    <t>Hátrányos Helyzetű Tanulók Arany János Tehetséggondozó Programon résztvevők 9-12.hónapra</t>
  </si>
  <si>
    <t>Egészségügyi és Szociális Szakközépiskola és Alternatív Gimnázium</t>
  </si>
  <si>
    <t>Egészségügyi és Szociális Szakközépiskola és Alternatív Gimnázium összesen:</t>
  </si>
  <si>
    <t>Vásárhelyi Pál Közgazdasági és Idegenforgalmi Két Tanítási Nyelvű Szakközépiskola</t>
  </si>
  <si>
    <t>Vásárhelyi Pál Közgazdasági és Idegenforgalmi Két Tanítási Nyelvű Szakközépiskola összesen:</t>
  </si>
  <si>
    <t>Gépipari, Közlekedési Szakközép- és Szakiskola</t>
  </si>
  <si>
    <t>Hátrányos Helyzetű Tanulók Arany János Tehetséggondozó Programja keretében kollégiumban elhelyezett tanulók 1-8. hónapra</t>
  </si>
  <si>
    <t>Hátrányos Helyzetű Tanulók Arany János Tehetséggondozó Programja keretében kollégiumban elhelyezett tanulók 9-12. hónapra</t>
  </si>
  <si>
    <t>"Liget Otthon" Fogyatékos Személyek Ápoló Gondozó Otthona összesen:</t>
  </si>
  <si>
    <t>2. b. sz. melléklet</t>
  </si>
  <si>
    <t>Pedagógus-, szociális szakvizsga, továbbképzés, és érettségi, szakmai vizsgadíjai</t>
  </si>
  <si>
    <t>Működési célú hiteltörlesztés     (tőke + kamat)</t>
  </si>
  <si>
    <t>Adósságtörlesztési kötelezettség összesen:</t>
  </si>
  <si>
    <t>Hitelállomány 2008. 01.01-én</t>
  </si>
  <si>
    <t>2008 - 2009.</t>
  </si>
  <si>
    <t>2001 - 2013.</t>
  </si>
  <si>
    <t>Zárt rendszerek fenntartása</t>
  </si>
  <si>
    <t>Érdekeltségi díj</t>
  </si>
  <si>
    <t>Szökőkutak üzemeltetése</t>
  </si>
  <si>
    <t>Eseti megrendelések</t>
  </si>
  <si>
    <t>Téli hómunka</t>
  </si>
  <si>
    <t>Kézi-gépi úttisztítás</t>
  </si>
  <si>
    <t>Lomtalanítás</t>
  </si>
  <si>
    <t>Illegális hulladék elszállítása</t>
  </si>
  <si>
    <t xml:space="preserve">Autóbuszvárók tisztítása </t>
  </si>
  <si>
    <t>Sírok, sírkertek fenntartása</t>
  </si>
  <si>
    <t>Világháborús hősi temetők fenntartása</t>
  </si>
  <si>
    <t>Emlékművek állagmegóvási munkái</t>
  </si>
  <si>
    <t>Közvilágítás üzemeltetés</t>
  </si>
  <si>
    <t>Közvilágítás villamos energia díja</t>
  </si>
  <si>
    <t>Közvilágítás egyéb fenntartás</t>
  </si>
  <si>
    <t>Díszvilágítás</t>
  </si>
  <si>
    <t>Állategészségügy</t>
  </si>
  <si>
    <t>Állatotthon Alapítvány támogatása</t>
  </si>
  <si>
    <t>Állati tetemek begyűjtése</t>
  </si>
  <si>
    <t>Patkánymentesítés közterületen</t>
  </si>
  <si>
    <t>Eboltás, ebnyilvántartás és költségei</t>
  </si>
  <si>
    <t>Megbízási díjak és közterhei</t>
  </si>
  <si>
    <t>Mezőgazdaság</t>
  </si>
  <si>
    <t>Szúnyoggyérítés költsége és szakértői díja</t>
  </si>
  <si>
    <t xml:space="preserve">A lakossági hulladékszállítás költségeinek csökkentéséhez  2006. évben közgyűlési határozattal elfogadott megállapodás szerint biztosított önkormányzati hozzájárulás elszámolása. </t>
  </si>
  <si>
    <t>Jászkun Volán ZRt. önkormányzati támogatás</t>
  </si>
  <si>
    <t xml:space="preserve">Kodály Kórus </t>
  </si>
  <si>
    <t>Szolnoki Művészeti Egyesület</t>
  </si>
  <si>
    <t>Kiemelt felhalmozási feladatok összesen:</t>
  </si>
  <si>
    <t>Polgármesteri Hivatalban kezelt egyéb felhalmozási feladatok</t>
  </si>
  <si>
    <t>Intézményeknél kezelt egyéb felhalmozási feladatok</t>
  </si>
  <si>
    <t>M I N D Ö S S Z E S E N :</t>
  </si>
  <si>
    <t>2006. év</t>
  </si>
  <si>
    <t>2007. év</t>
  </si>
  <si>
    <t>várható</t>
  </si>
  <si>
    <t>EU támogatás</t>
  </si>
  <si>
    <t>Kormányzati finanszírozás</t>
  </si>
  <si>
    <t xml:space="preserve">BM Önerő Alap </t>
  </si>
  <si>
    <t>Önkormányzati saját erő</t>
  </si>
  <si>
    <t>Támogatott műszaki tartalom összesen:</t>
  </si>
  <si>
    <r>
      <t>Projekt megnevezése:</t>
    </r>
    <r>
      <rPr>
        <sz val="11"/>
        <rFont val="Times New Roman"/>
        <family val="1"/>
      </rPr>
      <t xml:space="preserve"> Szolnok belvárosának rehabilitációja </t>
    </r>
  </si>
  <si>
    <t>Európai Uniós előcsatlakozási eszközök támogatásával megvalósuló projektek</t>
  </si>
  <si>
    <t>2002-ig</t>
  </si>
  <si>
    <t>2002. év</t>
  </si>
  <si>
    <t>2003. év</t>
  </si>
  <si>
    <t>2004. év</t>
  </si>
  <si>
    <t>2005. év</t>
  </si>
  <si>
    <t>2013. év</t>
  </si>
  <si>
    <t>tény</t>
  </si>
  <si>
    <t>Európai Uniós előcsatlakozási alap - ISPA</t>
  </si>
  <si>
    <t xml:space="preserve">KvVM támogatás </t>
  </si>
  <si>
    <t>Nem támogatott műszaki tartalom összesen:</t>
  </si>
  <si>
    <t>saját</t>
  </si>
  <si>
    <r>
      <t>Projekt megnevezése:</t>
    </r>
    <r>
      <rPr>
        <sz val="11"/>
        <rFont val="Times New Roman"/>
        <family val="1"/>
      </rPr>
      <t xml:space="preserve">    Regionális hulladéklerakó megvalósítása</t>
    </r>
  </si>
  <si>
    <t>HITEL</t>
  </si>
  <si>
    <t>2006.</t>
  </si>
  <si>
    <t>2010.</t>
  </si>
  <si>
    <t>2011.</t>
  </si>
  <si>
    <t>2012.</t>
  </si>
  <si>
    <t>2013.</t>
  </si>
  <si>
    <t>2014.</t>
  </si>
  <si>
    <t>2015.</t>
  </si>
  <si>
    <t>2016.</t>
  </si>
  <si>
    <t>2017.</t>
  </si>
  <si>
    <t>2018.</t>
  </si>
  <si>
    <t>LEJÁRAT</t>
  </si>
  <si>
    <t>deviza-nem</t>
  </si>
  <si>
    <t xml:space="preserve">tőke </t>
  </si>
  <si>
    <t xml:space="preserve">kamat </t>
  </si>
  <si>
    <t>Ft</t>
  </si>
  <si>
    <t>TVM lakótelep vásárlás 2003.</t>
  </si>
  <si>
    <t>Intézmények felújítása 2003.</t>
  </si>
  <si>
    <t>CHF</t>
  </si>
  <si>
    <t>Útépítések 2001.</t>
  </si>
  <si>
    <t>Sportcsarnok 2002.</t>
  </si>
  <si>
    <t>Útépítések 2002.</t>
  </si>
  <si>
    <t>TVM lakótelep vásárlás 2002.</t>
  </si>
  <si>
    <t>Útépítések 2003.</t>
  </si>
  <si>
    <t>Beruházási hitel 2004.</t>
  </si>
  <si>
    <t>Ágazati feladatok céltartaléka</t>
  </si>
  <si>
    <t>Intézmények</t>
  </si>
  <si>
    <t>Érettségi és szakmai vizsgadíj</t>
  </si>
  <si>
    <t>TB járulék</t>
  </si>
  <si>
    <t>Munkaadói járulék</t>
  </si>
  <si>
    <t>Vásárhelyi Pál Közgazdasági és Idegenforgalmi Két Tanítási Nyelvű SZKI</t>
  </si>
  <si>
    <t>Élelmezési kiadás összesen</t>
  </si>
  <si>
    <t>Normatív kedvezmény</t>
  </si>
  <si>
    <t>Intézmények megnevezése</t>
  </si>
  <si>
    <t>Útburkolati jelek egyszeri felújító festése. A városi közlekedésben résztvevők számára a közlekedési szabályok felismerhetőségének biztosítása és így a balesetmentes közlekedés elősegítése. Meghatározott helyeken tartós burkolati jelek kialakítása.</t>
  </si>
  <si>
    <t>Sportcentrum Kht támogatása</t>
  </si>
  <si>
    <t xml:space="preserve">Ünnepi díszvilágítás biztosítása. Meglévő díszvilágítási eszközök karbantartása, felújítása. 2008. évi karácsonyi díszvilágítás pótlása, bővítése. (Kossuth tér, Széchenyi városrész, Szandaszőlős, Jubileum tér.) </t>
  </si>
  <si>
    <t>22.745 m2 cserje felület tisztítása, 915 db fatányér gondozása, 350.000 m2 felületen kézi lombtalanítás.</t>
  </si>
  <si>
    <t>Önkormányzati erdők (Tiszaliget, Cora erdő, Holt-Tisza part, Kombájn út) törvényben előírt kötelező ápolási munkáinak elvégzése, Holt-Tisza parti erdőrészlet tervezett felújítása, Cora erdő szerkezetátalakításának megkezdése, szakértői díjak .</t>
  </si>
  <si>
    <t>3.500 db sorfa rendszeres öntözése, öntözőrendszerek (Verseghy park, Hild tér, Eötvös park, Szent István tér, Széchenyi emlékpark, I. és II. világháborús sírkert) beüzemelése, éves karbantartása, víz és energiaszámlák kiegyenlítése.</t>
  </si>
  <si>
    <t>Tiszaligeti körtöltés, illetve a Debreceni úti töltés fenntartási munkáinak folyamatos végzése. (3 alkalommal kaszálás, 101.550 m2, illetve 15.400 m2/alkalom, vegyszeres cserjeirtás és vágás (2000 m2/év), rágcsálóirtás 1x).</t>
  </si>
  <si>
    <t>Mutatószám</t>
  </si>
  <si>
    <t>2006/2007. tény</t>
  </si>
  <si>
    <t>2007/2008. becsült</t>
  </si>
  <si>
    <t>2006/2007.   tény 8/12</t>
  </si>
  <si>
    <t>2007/2008. becsült 4/12</t>
  </si>
  <si>
    <t>8 hónapra tervezett összeg</t>
  </si>
  <si>
    <t>4 hónapra tervezett összeg</t>
  </si>
  <si>
    <t>Általános hozzájárulás a tanulók tankönyvellátásához</t>
  </si>
  <si>
    <t>Belvárosi Általános Iskola összesen:</t>
  </si>
  <si>
    <t>Újvárosi Általános Iskola összesen:</t>
  </si>
  <si>
    <t>Verseghy Ferenc Gimnázium összesen:</t>
  </si>
  <si>
    <t>Két tanítási nyelven szervezett oktatás</t>
  </si>
  <si>
    <t>Varga Katalin Gimnázium összesen:</t>
  </si>
  <si>
    <t>Nyelvi előkészítő évfolyamon folyó oktatás</t>
  </si>
  <si>
    <t xml:space="preserve">Kistérségi feladatok </t>
  </si>
  <si>
    <t>6. sz. melléklet</t>
  </si>
  <si>
    <t>Számított létszám</t>
  </si>
  <si>
    <t>Támogatás</t>
  </si>
  <si>
    <t>Pedagógus szakvizsga, továbbképzés, emelt szintű érettségi vizsgáztatásra való felkészülés támogatása összesen:</t>
  </si>
  <si>
    <t>Szociális továbbképzés és szakvizsga összesen:</t>
  </si>
  <si>
    <t>NORMATÍV, KÖTÖTT FELHASZNÁLÁSÚ TÁMOGATÁSOK ÖSSZESEN:</t>
  </si>
  <si>
    <t>TB járulék (29%)</t>
  </si>
  <si>
    <t>Munkaadói járulék (3%)</t>
  </si>
  <si>
    <t>2008.</t>
  </si>
  <si>
    <t>2009.</t>
  </si>
  <si>
    <t>M e g n e v e z é s</t>
  </si>
  <si>
    <t>Összege</t>
  </si>
  <si>
    <t>Helyi adóbevétel</t>
  </si>
  <si>
    <t>Gépjárműadó</t>
  </si>
  <si>
    <t>Koncessziós díjak</t>
  </si>
  <si>
    <t>Le: Adósságszolgálat</t>
  </si>
  <si>
    <t xml:space="preserve">      Kezességvállalás</t>
  </si>
  <si>
    <t xml:space="preserve">      Bankgarancia</t>
  </si>
  <si>
    <t>Köztisztaság</t>
  </si>
  <si>
    <t>Temetőfenntartás</t>
  </si>
  <si>
    <t>Közvilágítás</t>
  </si>
  <si>
    <t>"Liget Otthon" Fogyatékos Személyek Ápoló, Gondozó Otthona és Nappali Intézménye</t>
  </si>
  <si>
    <t>Polgári védelem</t>
  </si>
  <si>
    <t>Hatósági bontás, szakértői díjak</t>
  </si>
  <si>
    <t>Rendszeres szociális segély</t>
  </si>
  <si>
    <t>Rendszeres nevelési segély</t>
  </si>
  <si>
    <t>Ápolási díj</t>
  </si>
  <si>
    <t>Átmeneti segély</t>
  </si>
  <si>
    <t>Temetési segély</t>
  </si>
  <si>
    <t>Méltányossági közgyógyellátás</t>
  </si>
  <si>
    <t>Lakásfenntartási és fűtési támogatás</t>
  </si>
  <si>
    <t>Időskorúak járadéka</t>
  </si>
  <si>
    <t>Rendkívüli gyermekvédelmi támogatás</t>
  </si>
  <si>
    <t>Tanszersegély</t>
  </si>
  <si>
    <t>Gondnoki díjak</t>
  </si>
  <si>
    <t>Egyéb szociális feladatok</t>
  </si>
  <si>
    <t>Adósságcsökkentési támogatás</t>
  </si>
  <si>
    <t>Köztemetés</t>
  </si>
  <si>
    <t xml:space="preserve">           - Liszt Ferenc Kamarazenekar támogatása</t>
  </si>
  <si>
    <t>Környezetvédelmi Alap</t>
  </si>
  <si>
    <t>Közművelődési feladatok</t>
  </si>
  <si>
    <t>Szervezetek támogatása</t>
  </si>
  <si>
    <t>Várospolitikai feladatok</t>
  </si>
  <si>
    <t>Regionális hulladéklerakó megvalósítása</t>
  </si>
  <si>
    <t>X.</t>
  </si>
  <si>
    <t>Lakásüzemeltetés</t>
  </si>
  <si>
    <t>Karbantartás</t>
  </si>
  <si>
    <t>Lakásértékesítés bonyolítási díja</t>
  </si>
  <si>
    <t>Kezelési díj</t>
  </si>
  <si>
    <t>Lakásmobilitás</t>
  </si>
  <si>
    <t>XI.</t>
  </si>
  <si>
    <t>Ingatlanok üzemeltetése</t>
  </si>
  <si>
    <t>Helyiségek karbantartása</t>
  </si>
  <si>
    <t>Alfa-Nova Kft. koncessziós beruházás és felújítás</t>
  </si>
  <si>
    <t>XII.</t>
  </si>
  <si>
    <t>XIII.</t>
  </si>
  <si>
    <t>ÁFA fizetési kötelezettség</t>
  </si>
  <si>
    <t>Tartalékok</t>
  </si>
  <si>
    <t xml:space="preserve">Ebből: </t>
  </si>
  <si>
    <t>Dolgozók lakásépítési támogatása</t>
  </si>
  <si>
    <t>Energia kincstári tartalék</t>
  </si>
  <si>
    <t>Intézményi feladatok céltartaléka</t>
  </si>
  <si>
    <t>Összesen:</t>
  </si>
  <si>
    <t xml:space="preserve">Első lakáshoz jutók támogatása </t>
  </si>
  <si>
    <t>I.</t>
  </si>
  <si>
    <t>II.</t>
  </si>
  <si>
    <t>2. sz. melléklet</t>
  </si>
  <si>
    <t>Szolnok Városi Óvodák</t>
  </si>
  <si>
    <t>E B B Ő L :</t>
  </si>
  <si>
    <t>Bartók Béla Alapfokú Művészetoktatási Intézmény</t>
  </si>
  <si>
    <t xml:space="preserve">Liget úti Általános Iskola, Előkészítő és Speciális Szakiskola </t>
  </si>
  <si>
    <t>Kodály Z. Ének-zenei Ált. Isk. és Tallinn Alapfokú Műv.okt. Int.</t>
  </si>
  <si>
    <t>Szandaszőlősi Általános Iskola, Művelődési Ház és Alapfokú Művészetoktatási Intézmény összesen:</t>
  </si>
  <si>
    <t>Liget úti Általános Iskola, Előkészítő és Speciális Szakiskola</t>
  </si>
  <si>
    <t>Felzárkóztató 9. évfolyam, szakiskola, szakközépiskola első szakképzési évfolyama (2007/2008. tanév)</t>
  </si>
  <si>
    <t>Szakiskola, szakközépiskola második és további évfolyama (2007/2008. tanév)</t>
  </si>
  <si>
    <t>Felzárkóztató 9. évfolyam, szakiskola, szakközépiskola első-második szakképzési évfolyama (2008/2009.tanév)</t>
  </si>
  <si>
    <t>Szakiskola, szakközépiskola harmadik és további évfolyama (2008/2009.tanév)</t>
  </si>
  <si>
    <t>Középiskolába, szakiskolába bejáró tanulók 9-12.hónapra</t>
  </si>
  <si>
    <t>Liget úti Általános Iskola, Előkészítő és Speciális Szakiskola összesen:</t>
  </si>
  <si>
    <t xml:space="preserve">Mátyás király Általános Iskola és Alapfokú Művészetoktatási Intézmény </t>
  </si>
  <si>
    <t>Mátyás király Általános Iskola és Alapfokú Művészetoktatási Intézmény összesen:</t>
  </si>
  <si>
    <t>Kőrösi Csoma Sándor Általános Iskola és Konstantin Alapfokú Művészetoktatási Intézmény összesen:</t>
  </si>
  <si>
    <t>Iskolai oktatás 11-13. évfolyamon (2007/2008. tanév)</t>
  </si>
  <si>
    <t>1. sz. melléklet</t>
  </si>
  <si>
    <t>SzMJV Önkormányzat Egészségügyi és Bölcsődei Igazgatósága</t>
  </si>
  <si>
    <t>Kőrösi Csoma Sándor Általános Iskola és Konstantin Alapfokú Művészetoktatási Int. fejlesztése</t>
  </si>
  <si>
    <t>Az önkormányzat által adott adóbevételek közvetett támogatásai az előző évhez képest jelentősen, 54%-kal csökkentek, melyen belül a gépjárműadó kedvezmények a törvényi változásból adódóan 156,5%-kal csökkent. Az iparűzési adókedvezmény az európai jogharmonizációs elveknek megfelelően már nem adható. A 2008. évi iparűzési adókedvezmény a korábbi években adott kedvezményt tartalmazza.</t>
  </si>
  <si>
    <r>
      <t xml:space="preserve">TB járulék </t>
    </r>
    <r>
      <rPr>
        <sz val="10"/>
        <rFont val="Times New Roman"/>
        <family val="1"/>
      </rPr>
      <t>(29%)</t>
    </r>
  </si>
  <si>
    <r>
      <t xml:space="preserve">Munkaadói járulék </t>
    </r>
    <r>
      <rPr>
        <sz val="10"/>
        <rFont val="Times New Roman"/>
        <family val="1"/>
      </rPr>
      <t>(3%)</t>
    </r>
  </si>
  <si>
    <r>
      <t xml:space="preserve">Egészségügyi hozzájárulás </t>
    </r>
    <r>
      <rPr>
        <sz val="10"/>
        <rFont val="Times New Roman"/>
        <family val="1"/>
      </rPr>
      <t xml:space="preserve"> (1950 Ft/fő/hó)</t>
    </r>
  </si>
  <si>
    <t>Az önkormányzati ingatlanvagyon biztosítása valamennyi intézmény esetében központosítottan történik, az előirányzat az általános kockázati elemekre nyújt fedezetet.</t>
  </si>
  <si>
    <t>Az önkormányzati tulajdonú ingatlanok üzemeltetésével kapcsolatos költségek elszámolása.</t>
  </si>
  <si>
    <t>A költségvetés-tervezet tartalmazza - az elmúlt évek tapasztalata alapján - az előre nem tervezhető hibajavítások költségeit, a társasházaknak fizetendő felújítási alapot, figyelemmel a várható inflációra, feltételezve a jelenlegi bérleményszámot.</t>
  </si>
  <si>
    <t>Kőrösi Cs. S. Ált. Isk. és Konstantin Alapfokú Műv.okt. Int.</t>
  </si>
  <si>
    <t>Tiszaparti Gimn. és Humán Szakközépiskola</t>
  </si>
  <si>
    <t>Egészségügyi és Szoc. Szakk.- és Szki és Alt. Gimn.</t>
  </si>
  <si>
    <t>Ruhaipari Szakközépiskola és Szakiskola</t>
  </si>
  <si>
    <t>Gépipari, Közl. Szakközépiskola és SzKI</t>
  </si>
  <si>
    <t>Pálfy J. Műszeripari és Vegyipari SzKI</t>
  </si>
  <si>
    <t>Kereskedelmi és Vend.ip. Szakk.-és SzKI</t>
  </si>
  <si>
    <t>Vásárhelyi P.Közg. és Idegenforg., Két Tanítási Ny. SzKI</t>
  </si>
  <si>
    <t>Kötelező növényvédelmi védekezése</t>
  </si>
  <si>
    <t>Környezetvédelem</t>
  </si>
  <si>
    <t>Zajmérések</t>
  </si>
  <si>
    <t>Egyéb városüzemeltetési kiadások</t>
  </si>
  <si>
    <t>Közcélú foglalkoztatás támogatása (Munkalehetőség a Jövőért Kht.)</t>
  </si>
  <si>
    <t>Városfejlesztési feladatok</t>
  </si>
  <si>
    <t>Közműnyilvántartás</t>
  </si>
  <si>
    <t xml:space="preserve">Önkormányzati Tervtanács működési kiadásai </t>
  </si>
  <si>
    <t>Épített Környezet Helyi Védelme</t>
  </si>
  <si>
    <t>Városszépítési feladatok támogatása</t>
  </si>
  <si>
    <t>Oktatási feladatok</t>
  </si>
  <si>
    <t>Kiemelt oktatási programok</t>
  </si>
  <si>
    <t>Középiskolai ösztöndíjak</t>
  </si>
  <si>
    <t>Oktatási rendezvények</t>
  </si>
  <si>
    <t>Sport és ifjúsági feladatok</t>
  </si>
  <si>
    <t>Sport rendezvények</t>
  </si>
  <si>
    <t xml:space="preserve">Ifjúságpolitikai feladatok </t>
  </si>
  <si>
    <t>Civil és kábítószerügyi feladatok</t>
  </si>
  <si>
    <t>Sport célú támogatás</t>
  </si>
  <si>
    <t>Önkormányzat és a Rendőrség Gyermekeinkért</t>
  </si>
  <si>
    <t>Egészségügyi feladatok</t>
  </si>
  <si>
    <t>Egészségügyi rendezvények</t>
  </si>
  <si>
    <t>Jogszabályi előíráson alapuló feladatok</t>
  </si>
  <si>
    <t xml:space="preserve">Egészségügyi célú támogatás </t>
  </si>
  <si>
    <t>Egyéb egészségügyi feladatok</t>
  </si>
  <si>
    <t>Szociális feladatok</t>
  </si>
  <si>
    <t>Családok átmeneti otthonának bérleti díja</t>
  </si>
  <si>
    <t xml:space="preserve">Roma program </t>
  </si>
  <si>
    <t>Szociális célú támogatás</t>
  </si>
  <si>
    <t>Foglalkozás-egészségügy</t>
  </si>
  <si>
    <t>Közművelődési rendezvények</t>
  </si>
  <si>
    <t>Civil feladatok támogatása</t>
  </si>
  <si>
    <t>Szociális ellátások kiadásai</t>
  </si>
  <si>
    <t>Egyedi térítési díjtámogatás</t>
  </si>
  <si>
    <t>Első lakáshoz jutó fiatalok támogatása</t>
  </si>
  <si>
    <t>Alap</t>
  </si>
  <si>
    <t>Várospolitika</t>
  </si>
  <si>
    <t>Nemzetközi kapcsolatok</t>
  </si>
  <si>
    <t xml:space="preserve">Városmarketing feladatok </t>
  </si>
  <si>
    <t>Idegenforgalmi feladatok támogatása</t>
  </si>
  <si>
    <t>Bűnmegelőzési és Közbiztonsági feladatok támogatása</t>
  </si>
  <si>
    <t>Lakásgazdálkodás kiadásai</t>
  </si>
  <si>
    <t>Közös költség</t>
  </si>
  <si>
    <t>Zöld Ház társasház közös költsége</t>
  </si>
  <si>
    <t>Lakásfelújítás</t>
  </si>
  <si>
    <t>Vagyonműködtetés kiadásai</t>
  </si>
  <si>
    <t>Ingatlanvagyon biztosítása</t>
  </si>
  <si>
    <t xml:space="preserve">Igazgatási kiadások </t>
  </si>
  <si>
    <t>Adósságszolgálati céltartalék</t>
  </si>
  <si>
    <t>Működési költségvetés céltartalék</t>
  </si>
  <si>
    <t>Városháztartási reform alap</t>
  </si>
  <si>
    <t>Általános tartalék</t>
  </si>
  <si>
    <t>Kötelezettség jogcíme</t>
  </si>
  <si>
    <t>Kötelezettség- vállalás éve</t>
  </si>
  <si>
    <t>1999.</t>
  </si>
  <si>
    <t>A vagyonhasznosítás előkészítése édekében készült felmérések, értékbecslések, tervek, hirdetési díjak költségei.</t>
  </si>
  <si>
    <t>A koncessziós megállapodásban rögzítettek alapján az éves koncessziós díj felhasználásra kerül a távhőszolgáltatási rendszer felújítására.</t>
  </si>
  <si>
    <t xml:space="preserve">A halaszthatatlan víziközmű felújításokról, koncessziós díj terhére történő kifizetések fedezete. </t>
  </si>
  <si>
    <t xml:space="preserve">Az önkormányzat és a hivatal munkájához szükséges az ingatlan-nyilvántartás adataihoz történő gyors hozzáférés, melyet ezen rendszer biztosít. </t>
  </si>
  <si>
    <t>Szülői térítési díj</t>
  </si>
  <si>
    <t>Élelmezés mindösszesen:</t>
  </si>
  <si>
    <t>SZMJV Önk. Egészségügyi és Bölcsődei Igazgatósága</t>
  </si>
  <si>
    <t>Szolnok TV ZRt. hitel</t>
  </si>
  <si>
    <t>Ipari Park Kft. hitel és támogatás</t>
  </si>
  <si>
    <t>Átvett csatorna társulati hitel</t>
  </si>
  <si>
    <t>2005.</t>
  </si>
  <si>
    <t>Beruházási hitelek</t>
  </si>
  <si>
    <t>1991-2002.</t>
  </si>
  <si>
    <t>Kezességvállalás</t>
  </si>
  <si>
    <t>Önkormányzati és intézményi beruházások</t>
  </si>
  <si>
    <t>6.</t>
  </si>
  <si>
    <t>Önkormányzati és intézményi felújítások</t>
  </si>
  <si>
    <t>7.</t>
  </si>
  <si>
    <t xml:space="preserve">A helyi kisebbségi önkormányzatok </t>
  </si>
  <si>
    <t>2.1. Illetékek</t>
  </si>
  <si>
    <t>2.3. Átengedett központi adók</t>
  </si>
  <si>
    <t>Egyéb felhalmozási kiadások összesen:</t>
  </si>
  <si>
    <t>BEVÉTELEK ÖSSZESEN:</t>
  </si>
  <si>
    <t>KIADÁSOK ÖSSZESEN:</t>
  </si>
  <si>
    <t>2008. év</t>
  </si>
  <si>
    <t>Fedezethiány</t>
  </si>
  <si>
    <r>
      <t>I.</t>
    </r>
    <r>
      <rPr>
        <sz val="11"/>
        <rFont val="Times New Roman"/>
        <family val="1"/>
      </rPr>
      <t xml:space="preserve"> Működési  bevételek</t>
    </r>
  </si>
  <si>
    <r>
      <t>II.</t>
    </r>
    <r>
      <rPr>
        <sz val="11"/>
        <rFont val="Times New Roman"/>
        <family val="1"/>
      </rPr>
      <t xml:space="preserve"> Támogatások</t>
    </r>
  </si>
  <si>
    <r>
      <t xml:space="preserve">III. </t>
    </r>
    <r>
      <rPr>
        <sz val="11"/>
        <rFont val="Times New Roman"/>
        <family val="1"/>
      </rPr>
      <t>Felhalmozási és tőke jellegű bevételek</t>
    </r>
  </si>
  <si>
    <r>
      <t>IV.</t>
    </r>
    <r>
      <rPr>
        <sz val="11"/>
        <rFont val="Times New Roman"/>
        <family val="1"/>
      </rPr>
      <t xml:space="preserve"> Véglegesen átvett pénzeszközök</t>
    </r>
  </si>
  <si>
    <r>
      <t>V.</t>
    </r>
    <r>
      <rPr>
        <sz val="11"/>
        <rFont val="Times New Roman"/>
        <family val="1"/>
      </rPr>
      <t xml:space="preserve"> Támogatási kölcsönök visszatérülése, értékpapírok értékesítésének, kibocsátásának bevétele</t>
    </r>
  </si>
  <si>
    <r>
      <t xml:space="preserve">VI. </t>
    </r>
    <r>
      <rPr>
        <sz val="11"/>
        <rFont val="Times New Roman"/>
        <family val="1"/>
      </rPr>
      <t>Hitelek</t>
    </r>
  </si>
  <si>
    <r>
      <t xml:space="preserve">VII. </t>
    </r>
    <r>
      <rPr>
        <sz val="11"/>
        <rFont val="Times New Roman"/>
        <family val="1"/>
      </rPr>
      <t>Pénzügyi elszámolások</t>
    </r>
  </si>
  <si>
    <r>
      <t>VIII.</t>
    </r>
    <r>
      <rPr>
        <sz val="11"/>
        <rFont val="Times New Roman"/>
        <family val="1"/>
      </rPr>
      <t xml:space="preserve"> Pénzforgalom nélküli bevételek </t>
    </r>
  </si>
  <si>
    <r>
      <t>I.</t>
    </r>
    <r>
      <rPr>
        <sz val="11"/>
        <rFont val="Times New Roman"/>
        <family val="1"/>
      </rPr>
      <t xml:space="preserve"> Intézmények elemi kiadásai</t>
    </r>
  </si>
  <si>
    <r>
      <t>II.</t>
    </r>
    <r>
      <rPr>
        <sz val="11"/>
        <rFont val="Times New Roman"/>
        <family val="1"/>
      </rPr>
      <t xml:space="preserve"> Polgármesteri Hivatal</t>
    </r>
  </si>
  <si>
    <r>
      <t xml:space="preserve">III. </t>
    </r>
    <r>
      <rPr>
        <sz val="11"/>
        <rFont val="Times New Roman"/>
        <family val="1"/>
      </rPr>
      <t>Kisebbségi Önkormányzatok</t>
    </r>
  </si>
  <si>
    <r>
      <t xml:space="preserve">IV. </t>
    </r>
    <r>
      <rPr>
        <sz val="11"/>
        <rFont val="Times New Roman"/>
        <family val="1"/>
      </rPr>
      <t xml:space="preserve">Pénzügyi elszámolások </t>
    </r>
  </si>
  <si>
    <t>Intézményi működési bevételek összesen</t>
  </si>
  <si>
    <t xml:space="preserve">K I A D ÁS </t>
  </si>
  <si>
    <t>Egészségügyi hozzájárulás  (1 950 Ft/fő/hó)</t>
  </si>
  <si>
    <t xml:space="preserve">  -ebből: társadalombiztosítási alapból átvett pénzeszköz</t>
  </si>
  <si>
    <t xml:space="preserve">  -felhalmozási célú pénzeszköz átvétel államháztartáson kívülről</t>
  </si>
  <si>
    <t>A Szolnoki szennyvíztisztítómű építéséhez az Európai Beruházási Banktól (EIB) igényelt, 1997-98. években felvett  380.000 ezer Ft összegű beruházási hitel 2008. évi tőke és kamatfizetési előirányzata.</t>
  </si>
  <si>
    <t>Oktatási intézmények túlóra tartaléka</t>
  </si>
  <si>
    <t>Energia árváltozás tartaléka</t>
  </si>
  <si>
    <t>Gyermekétkeztetéshez vissza nem igényelhető Áfa tartaléka</t>
  </si>
  <si>
    <t>Gyermekétkeztetési rezsi változás miatti tartalék</t>
  </si>
  <si>
    <t>II. fejezet összesen:</t>
  </si>
  <si>
    <t>II. fejezet:</t>
  </si>
  <si>
    <t>I. fejezet összesen:</t>
  </si>
  <si>
    <t>Szolnok belvárosának rehabilitációja (támogatott műszaki tartalom)</t>
  </si>
  <si>
    <t>Szolnok belvárosának rehabilitációja (nem támogatott műszaki tartalom)</t>
  </si>
  <si>
    <t>Árvízvédelmi raktár, anyagok, létesítmények fenntartása, kezelése (körtöltésen bemosódások helyreállítása, szelvénykövek helyreállítása, raktár külső falazatának festése, sorompók festése, gátkorona hómentesítése).</t>
  </si>
  <si>
    <t>Belvízcsatorna kotrás (1500 fm), vegyszeres nád és cserjeírtás (20.000 m2), árokfenntartás, profilozás (300 m3), burkolás (360 m2), helyreállítás, víznyelőakna építése.  Belvízcsatornák, árkok kaszálása, tisztítása, szemét összeszedése, folyókák, átereszek kézi tisztítása stb. Csapadékvíz akadálytalan lefolyásának biztosítása.</t>
  </si>
  <si>
    <t>Szökőkutak működési feltételeinek technikai biztosítása, folyamatos üzemeltetése, karbantartása, medencék festése (1 x), tisztítása (10 x). (Ivónő, Békás kút, Zounok Ispán szobor, Jubileum tér, Széchenyi park).</t>
  </si>
  <si>
    <t xml:space="preserve">Hulladékgyűjtők kihelyezése, javítása: a város területén lévő hulladékgyűjtők elhelyezkedési sűrűségének fenntartása, növelése. </t>
  </si>
  <si>
    <t>Graffitik, falfirkák eltávolítása közterületekről.</t>
  </si>
  <si>
    <t>Kőrösi és Béke úti temetőkben az önkormányzati kezelésben lévő sírok, sírkertek ápolása, karbantartása (kaszálás, sövénynyírás, gyöngykavicsos felület fenntartása, cserjék metszése, lombfelszedés, padok karbantartása).</t>
  </si>
  <si>
    <t>Az I. és II. világháborús sírkertek folyamatos kaszálása, öntözőrendszer üzemeltetése, gyöngykavicsos felület fenntartása.</t>
  </si>
  <si>
    <t>Emlékművek felületének tisztítása, felületi védelme, feliratok újrafestése, sírok, gránitlapok felújítása.</t>
  </si>
  <si>
    <t>Kossuth tér burkolatainak takarítási feladatai, szökőkutak, öntözőrendszerek üzemeltetése; zöldfelületek rendezési munkái, információs pavilon üzemeltetése, víz és energiaellátás biztosítása.</t>
  </si>
  <si>
    <t>28/2003 (X.13.) KR. Szolnok Város Sportjáért Díj adományozásának költségei; Bajnok sportolók, edzőik köszöntése</t>
  </si>
  <si>
    <t>Parodontológiai szakellátás támogatása Z-50/2006. (V.25.) Kgy. határozat alapján</t>
  </si>
  <si>
    <t>A 165/2005 (III.31.) sz. Kgy. határozat alapján szervezetek, közösségek, magánszemélyek, valamint intézményi speciális programok támogatása. Szolnok város lakossága egészségügyi ellátásának javítása, a szakmai színvonal emelése.</t>
  </si>
  <si>
    <t>Foglalkoztatás egészségügyi szolgáltatás 1993. évi XCIII. Tv. és a 89/1995. (VII.14.) korm.rend., a 33/1998. (VI.24.) NM rend., valamint a 7/1996. (I.11.) sz. Kgy. határozat alapján a Polgármesteri Hivatal és az önkormányzati intézmények dolgozói részére foglalkozás-egészségügyi szolgáltatás. A kötelező munkaalkalmassági vizsgálaton túl az egészség megőrzése, fenntartása.</t>
  </si>
  <si>
    <t>Családok átmeneti otthonának bérleti díja. Átmeneti, bentlakásos személyes gondoskodást nyújtó elhelyezés biztosítása gyermekek és szülők számára, civil szervezettel megkötött ellátási szerződés keretében.</t>
  </si>
  <si>
    <t>A 8/2008.(I.24.) sz. Kgy. határozat alapján a SzMJV Önkormányzata Integrációs programjának Cselekvési Feladattervének célkitűzéseinek megvalósítására, ill. halmozottan hátrányos helyzetű csoportok életkörülményeinek, életesélyének javítására, a társadalmi integráció támogatására.</t>
  </si>
  <si>
    <t>A 46/2007. (III.29.) sz. Kgy. hat. 1. sz. melléklete alapján elfogadott drog-elleni stratégia megvalósítása. A 273/2003. (XI.27.) sz. Kgy. hat. alapján a Civil Stratégia és cselekvési program megvalósítása, helyzetfeltárás elkészítése a Civil stratégia megújításához. A Városi Civil Fórum megrendezése.</t>
  </si>
  <si>
    <t>Fogyatékos nappali ellátás támogatása a Máltai Szeretetszolgálat Egyesülettel kötött megálapodás alapján a Z-58/2006. (VI.22.) sz. Kgy. határozat alapján.</t>
  </si>
  <si>
    <t>VMZK Kht  (Szolnoki Szimfonikusok; Bartók Kórus; Liszt Ferenc Kamarakórus)</t>
  </si>
  <si>
    <t>Városi és állami ünnepek, rendezvények.</t>
  </si>
  <si>
    <t>Eseti gondnok, ügygondnok munkájának megfizetése.</t>
  </si>
  <si>
    <t>Intézményszolgálat Mindösszesen</t>
  </si>
  <si>
    <t>A 220/2004. (IX.30.) sz. Kgy. határozatban feltüntetett ütemezés szerint 2008. évben a Moha út mögötti salakospálya és a Tallinn Városrészi Szabadidős Centrum kerül kialakításra.</t>
  </si>
  <si>
    <t>Településrendezési terv megvalósítása érdekében felmerülő ingatlanok tulajdonjogának megszerzéséhez szükséges előirányzat.</t>
  </si>
  <si>
    <t>A költségvetési rendeletben meghatározottak szerinti feladatok tartaléka.</t>
  </si>
  <si>
    <t>A 1988. évi I. tv. szerint  kötelezően ellátandó feladat a forgalmi rend felülvizsgálat. Az előirányzat az időközi változtatásokhoz szükséges felülvizsgálatok elvégzéséhez biztosít forrást.</t>
  </si>
  <si>
    <t>Az autóbusz megállóhelyeken az autóbuszöblök, illetve autóbusz felállási helyek felgyűrődött vagy nyomvályús felületeinek megszűntetése  betontérkő burkolat beépítésével, a balesetmentes közlekedés biztosítása érdekében.</t>
  </si>
  <si>
    <t>Egészséges Városok Szövetsége tagdíj</t>
  </si>
  <si>
    <t>Jász-Nagykun-Szolnok Megyei Területfejlesztési Ügynökség Kht. és Területfejlesztési Tanács</t>
  </si>
  <si>
    <t>Jász-Nagykun-Szolnok Megyei Polgári Védelmi Szövetség</t>
  </si>
  <si>
    <t>Magyar Önkormányzatok Szövetsége</t>
  </si>
  <si>
    <t>EOQ MNB</t>
  </si>
  <si>
    <t>EuroArt</t>
  </si>
  <si>
    <t xml:space="preserve">Parlagfűmentesítési Alap </t>
  </si>
  <si>
    <t xml:space="preserve">A 289/2004. (XII.16.) sz. Közgyűlési határozat alapján folytatódik a város tíz éves játszótér fejlesztési programja. </t>
  </si>
  <si>
    <t>A vegyes tulajdonban lévő társasházakban az önkormányzati tulajdoni hányadot terhelő közös költségre nyújt fedezetet.</t>
  </si>
  <si>
    <t>Igazgatási kiadások</t>
  </si>
  <si>
    <t>Rendszeres személyi juttatás</t>
  </si>
  <si>
    <t>Nem rendszeres személyi juttatás</t>
  </si>
  <si>
    <t>Személyi kiadások összesen</t>
  </si>
  <si>
    <t>Létszám</t>
  </si>
  <si>
    <t>Tagdíjak</t>
  </si>
  <si>
    <t>Megyei Jogú Városok Szövetsége</t>
  </si>
  <si>
    <t>Magyar Urbanisztikai Társaság</t>
  </si>
  <si>
    <t>Vasutas Települések Szövetsége</t>
  </si>
  <si>
    <t>ÖPTE</t>
  </si>
  <si>
    <t>Nívó Klub</t>
  </si>
  <si>
    <t>Intelligens Települések Országos Szövetsége</t>
  </si>
  <si>
    <t>Jegyzők Országos Szövetsége</t>
  </si>
  <si>
    <t>Termál és Gyógyturizmus Egyesület</t>
  </si>
  <si>
    <t>A deviza alapú hitelek kamat és árfolyamkockázatának  fedezetére szolgál.</t>
  </si>
  <si>
    <t>Előirányzat felhasználására az érintett intézmények és a szolgáltató közötti megosztásra vonatkozó, külön közgyűlési döntés szerint kerülhet sor. Az előirányzat tartalmazza az energia kincstár kezelési díját.</t>
  </si>
  <si>
    <t xml:space="preserve">Szolnok Megyei Jogú Város Önkormányzata </t>
  </si>
  <si>
    <t>Sor-szám</t>
  </si>
  <si>
    <t>Bevételi jogcím</t>
  </si>
  <si>
    <t>Kedvezmények összege</t>
  </si>
  <si>
    <t>Gépjárműadó kedvezmény</t>
  </si>
  <si>
    <t>Iparűzési adó kedvezmény</t>
  </si>
  <si>
    <t xml:space="preserve">melyből: </t>
  </si>
  <si>
    <t xml:space="preserve"> - munkanélküli foglalkoztatása</t>
  </si>
  <si>
    <t xml:space="preserve"> - rokkant munkavállaló foglalkoztatása</t>
  </si>
  <si>
    <t xml:space="preserve"> - szakmunkástanuló foglalkoztatása</t>
  </si>
  <si>
    <t xml:space="preserve"> - önkormányzati alapokra befizetett összeg miatt</t>
  </si>
  <si>
    <t xml:space="preserve"> - beruházási kedvezmény</t>
  </si>
  <si>
    <t xml:space="preserve">       Bevétel</t>
  </si>
  <si>
    <t xml:space="preserve">      Kiadás</t>
  </si>
  <si>
    <t xml:space="preserve">  tény</t>
  </si>
  <si>
    <t>Működési  bevételek</t>
  </si>
  <si>
    <t>I. Intézmények kiadásai</t>
  </si>
  <si>
    <t>Önkormányzatok sajátos működési bevételei</t>
  </si>
  <si>
    <t>Támogatások</t>
  </si>
  <si>
    <t xml:space="preserve">III. Kisebbségi </t>
  </si>
  <si>
    <t>Önkormányzatok</t>
  </si>
  <si>
    <t xml:space="preserve"> Felhalmozási és tőke jellegű bevételek</t>
  </si>
  <si>
    <t>Támogatási kölcsönök visszatérülése, értékpapírok értékesítésének, kibocsátásának bevétele</t>
  </si>
  <si>
    <t xml:space="preserve">Pénzforgalom nélküli bevételek </t>
  </si>
  <si>
    <t>2009. év</t>
  </si>
  <si>
    <t>Játszótéri program</t>
  </si>
  <si>
    <t>Integrált pénzügyi, számviteli rendszer</t>
  </si>
  <si>
    <t>Városháza fűtéskorszerűsítése</t>
  </si>
  <si>
    <t>naturália</t>
  </si>
  <si>
    <t xml:space="preserve">Regionális hulladéklerakó megvalósítása </t>
  </si>
  <si>
    <t xml:space="preserve">Városháza fűtéskorszerűsítés </t>
  </si>
  <si>
    <t xml:space="preserve">költségvetési intézményei 2008. évi intézményi feladatok céltartaléka </t>
  </si>
  <si>
    <t>A csatornamű társulatok a területükön elvégzett beruházás megvalósításához - önkormányzati kezességvállalás mellett - fejlesztési hitelt vettek fel. A társulatok megszűnését követően (2005. évben) fennálló tartozásállományuk ténylegesen megfizetendő önkormányzati kötelezettséggé vált. Az előirányzatok a 2008. évi tőke és kamatfizetést tartalmazzák.</t>
  </si>
  <si>
    <t>Indításra tervezett beruházások:</t>
  </si>
  <si>
    <t>2006. évi tény</t>
  </si>
  <si>
    <t>2019.</t>
  </si>
  <si>
    <t>2020.</t>
  </si>
  <si>
    <t>2021.</t>
  </si>
  <si>
    <t>2022.</t>
  </si>
  <si>
    <t>2023.</t>
  </si>
  <si>
    <t>2024.</t>
  </si>
  <si>
    <t>2025.</t>
  </si>
  <si>
    <t>2026.</t>
  </si>
  <si>
    <t>2027.</t>
  </si>
  <si>
    <t>2028.</t>
  </si>
  <si>
    <t>2029.</t>
  </si>
  <si>
    <t>2030.</t>
  </si>
  <si>
    <t>megnevezés</t>
  </si>
  <si>
    <t>Szennyv.EIB hitel</t>
  </si>
  <si>
    <t xml:space="preserve">Beruházási hitel 2006. </t>
  </si>
  <si>
    <t>Szolnok 2030/A kötvény</t>
  </si>
  <si>
    <t>VI.ütem csatornaépítés</t>
  </si>
  <si>
    <t>Hitel és kötvény összesen:</t>
  </si>
  <si>
    <t>Közszolgálati Szálló üzemeltetése</t>
  </si>
  <si>
    <t>Vagyonhasznosítás előkészítése</t>
  </si>
  <si>
    <t>Tulajdonosi viszonyok rendezése</t>
  </si>
  <si>
    <t>Takarnet használat</t>
  </si>
  <si>
    <t>Ingatlanok tulajdonjogának megszerzése</t>
  </si>
  <si>
    <t>Alapfokú Művészetoktatás Zeneművészeti ág (1-8. hóra)</t>
  </si>
  <si>
    <t>Naturális mutatók</t>
  </si>
  <si>
    <t>Mátyás Király Általános Iskola és Alapfokú Művokt. Intézmény</t>
  </si>
  <si>
    <t>Csokonai u. közvilágítás átépítése</t>
  </si>
  <si>
    <t>Vásárhelyi Pál Közgazdasági és Idegenforgalmi Két Tanítási Nyelvű SZKI akadálymentesítése</t>
  </si>
  <si>
    <t xml:space="preserve">Városrehabilitáció Szandaszőlős </t>
  </si>
  <si>
    <t>Indításra tervezett beruházások összesen :</t>
  </si>
  <si>
    <t>15.e.</t>
  </si>
  <si>
    <t>16.3.1.(4)</t>
  </si>
  <si>
    <t>Hátrányos Helyzetű Tanulók Arany János Tehetséggondozó Programja keretében kollégiumban elhelyezett tanulók (1-8. hó)</t>
  </si>
  <si>
    <t>15.f.(4)</t>
  </si>
  <si>
    <t>Iskolaotthonos oktatás általános iskola 1-4. évfolyamán (1-8. hóra)</t>
  </si>
  <si>
    <t>Napközis/tanulószobai foglalkozás 1-4. évfolyam</t>
  </si>
  <si>
    <t>15.g.(1)</t>
  </si>
  <si>
    <t>15.g.(2)</t>
  </si>
  <si>
    <t>Iskolaotthonos oktatás 1-2. évfolyam</t>
  </si>
  <si>
    <t>15.g.(3)</t>
  </si>
  <si>
    <t>Iskolaotthonos oktatás 3. évfolyam</t>
  </si>
  <si>
    <t>15.g.(4)</t>
  </si>
  <si>
    <t>Iskolaotthonos oktatás 4. évfolyam</t>
  </si>
  <si>
    <t>15.g.(5)</t>
  </si>
  <si>
    <t xml:space="preserve">Sajátos nevelési igényű gyermekek, tanulók nevelése, oktatása </t>
  </si>
  <si>
    <t>Testi, érzékszervi és középsúlyos értelmi fogyatékos, továbbá az autista gyermekek, tanulók (a közoktatási tv. 3. sz mell. II/3. pontja szerint a csoprt osztály-szervezésnél 3 főként kell számításba venni</t>
  </si>
  <si>
    <t>16.2.1.d.</t>
  </si>
  <si>
    <t>16.2.1.e.</t>
  </si>
  <si>
    <t>16.7.a</t>
  </si>
  <si>
    <t>16.8.(2)</t>
  </si>
  <si>
    <t>16.8.(3)</t>
  </si>
  <si>
    <t>16.5.1.b(1)</t>
  </si>
  <si>
    <t>Hátrányos Helyzetű Tanulók Arany János Tehetséggondozó Programja keretében kollégiumban elhelyezett tanulók (9-12. hóra)</t>
  </si>
  <si>
    <t>16.5.1.c.</t>
  </si>
  <si>
    <t>Pedagógiai módszerek támogatása Minősített Alapfokú Művészetoktatáson zeneművészeti ág (9-12. hóra)</t>
  </si>
  <si>
    <t xml:space="preserve"> 16.5.2.a</t>
  </si>
  <si>
    <t xml:space="preserve"> 16.5.2.b</t>
  </si>
  <si>
    <t>16.11.1..</t>
  </si>
  <si>
    <t>16.6.1..</t>
  </si>
  <si>
    <t>17.1.(1)</t>
  </si>
  <si>
    <t>17.1.b</t>
  </si>
  <si>
    <t>17.2.a.</t>
  </si>
  <si>
    <t>Tanulók általános tankönyvtámogatása</t>
  </si>
  <si>
    <t>17.2.b.</t>
  </si>
  <si>
    <t>17.3.(1)</t>
  </si>
  <si>
    <t>Helyben maradó szja 8%</t>
  </si>
  <si>
    <t>A települési önkormányzatok jövedelemdifferenciálódásának mérséklése</t>
  </si>
  <si>
    <t>Közművelődési célú támogatás</t>
  </si>
  <si>
    <t xml:space="preserve"> -Hozam- és kamatbevételek</t>
  </si>
  <si>
    <t xml:space="preserve">Intézményi működési bevételek összesen: </t>
  </si>
  <si>
    <t>Felhalmozási-és tőke jellegű bevételek</t>
  </si>
  <si>
    <t>Támogatásértékű bevétel</t>
  </si>
  <si>
    <t xml:space="preserve">  -Támogatásértékű működési bevétel</t>
  </si>
  <si>
    <t xml:space="preserve">  -ebből: társadalombiztosítási alapból átvett p.eszköz</t>
  </si>
  <si>
    <t xml:space="preserve">  -Támogatásértékű felhalmozási bevétel</t>
  </si>
  <si>
    <t xml:space="preserve">  -felhalmozási célú pénzeszköz átvétel államházt.kívülről</t>
  </si>
  <si>
    <t xml:space="preserve">  -működési célú pénzeszköz átvétel államházt. kívülről</t>
  </si>
  <si>
    <t>Önkormányzati támogatás</t>
  </si>
  <si>
    <t>BEVÉTELEK ÖSSZESEN :</t>
  </si>
  <si>
    <t xml:space="preserve"> K I A D ÁS </t>
  </si>
  <si>
    <t xml:space="preserve">       -ebből:   gázenergia</t>
  </si>
  <si>
    <t xml:space="preserve">                     villamosenergia</t>
  </si>
  <si>
    <t xml:space="preserve">                     távhő- és melegvíz</t>
  </si>
  <si>
    <t xml:space="preserve">                     víz és csatorna</t>
  </si>
  <si>
    <t xml:space="preserve">                     élelmezés</t>
  </si>
  <si>
    <t xml:space="preserve">                     tanulók tankönyvtámogatásai</t>
  </si>
  <si>
    <t xml:space="preserve">                     karbantartás</t>
  </si>
  <si>
    <t xml:space="preserve">                     ÁFA</t>
  </si>
  <si>
    <t xml:space="preserve"> KIADÁSOK ÖSSZESEN :</t>
  </si>
  <si>
    <t>7. sz. melléklet</t>
  </si>
  <si>
    <t>Beruházások, felújítások kiadásai</t>
  </si>
  <si>
    <r>
      <t xml:space="preserve"> </t>
    </r>
    <r>
      <rPr>
        <b/>
        <sz val="11"/>
        <rFont val="Times New Roman"/>
        <family val="1"/>
      </rPr>
      <t xml:space="preserve">    Ebből</t>
    </r>
    <r>
      <rPr>
        <sz val="11"/>
        <rFont val="Times New Roman"/>
        <family val="1"/>
      </rPr>
      <t>:</t>
    </r>
  </si>
  <si>
    <t>E   B   B   Ő   L</t>
  </si>
  <si>
    <t>Munkaadót terhelő járulékok</t>
  </si>
  <si>
    <t>Működési célú támogatások</t>
  </si>
  <si>
    <t>Beruházás</t>
  </si>
  <si>
    <t xml:space="preserve"> Felújítás</t>
  </si>
  <si>
    <t xml:space="preserve">                Termőföld bérbeadásából származó jövedelem adó</t>
  </si>
  <si>
    <t xml:space="preserve">                Átengedett egyéb központi adók</t>
  </si>
  <si>
    <t>2.4. Bírságok, pótlékok és egyéb sajátos bevételek</t>
  </si>
  <si>
    <t>3. Cigány kisebbségi önkormányzat saját bevétele</t>
  </si>
  <si>
    <t>4. Lengyel kisebbségi önkormányzat saját bevétele</t>
  </si>
  <si>
    <t>II. Támogatások</t>
  </si>
  <si>
    <t>III. Kisebbségi Önkormányzatok</t>
  </si>
  <si>
    <t>1. Önkormányzatok költségvetési támogatása</t>
  </si>
  <si>
    <t>1.1. Normatív támogatások</t>
  </si>
  <si>
    <t xml:space="preserve">      Ebből: </t>
  </si>
  <si>
    <t>1.2. Központosított előirányzatok</t>
  </si>
  <si>
    <t xml:space="preserve">      Cigány Kisebbségi Önkormányzat</t>
  </si>
  <si>
    <t>1.4. Helyi önkormányzatok színházi támogatása</t>
  </si>
  <si>
    <t xml:space="preserve">      Lengyel Kisebbségi Önkormányzat</t>
  </si>
  <si>
    <t>1.5. Normatív kötött felhasználású támogatások</t>
  </si>
  <si>
    <t>1.6. Fejlesztési célú támogatások</t>
  </si>
  <si>
    <t>1.7. Önkormányzati egyéb kv-i támogatás</t>
  </si>
  <si>
    <t>III. Felhalmozási és tőke jellegű bevételek</t>
  </si>
  <si>
    <t>Kiemelt előirányzatok:</t>
  </si>
  <si>
    <t>1. Tárgyi eszközök, immateriális javak értékesítése</t>
  </si>
  <si>
    <t>Személyi juttatás</t>
  </si>
  <si>
    <t xml:space="preserve">     Melyből: Intézmények</t>
  </si>
  <si>
    <t>Munkaadókat terhelő járulékok</t>
  </si>
  <si>
    <t>2. Önkormányzatok sajátos felhalmozási és tőkebevételei</t>
  </si>
  <si>
    <t>Dologi kiadás</t>
  </si>
  <si>
    <t>Hild Viktor Könyvtár és Közművelődési Intézmény</t>
  </si>
  <si>
    <t xml:space="preserve">Tanulók tankönyvtámogatásai </t>
  </si>
  <si>
    <t>Melyből:     Intézményi karbantartás</t>
  </si>
  <si>
    <t>Melyből:   Működési célú pénzeszköz átadás</t>
  </si>
  <si>
    <t>Okmányirodák működése és gyámügyi igazgatási feladatok alap-hozzájárulás</t>
  </si>
  <si>
    <t>1.7. Önkormányzati egyéb költségvetési támogatás</t>
  </si>
  <si>
    <t xml:space="preserve">                  Intézmények</t>
  </si>
  <si>
    <t>Melyből:   Beruházás</t>
  </si>
  <si>
    <t xml:space="preserve"> Felhalmozási célú pénzeszköz átadás </t>
  </si>
  <si>
    <t xml:space="preserve">    Felújítás</t>
  </si>
  <si>
    <t>Hirdetések és pályázatok kiírása</t>
  </si>
  <si>
    <t>Kullancsirtás</t>
  </si>
  <si>
    <t>Parlagfű és egyéb gyomnövények irtása</t>
  </si>
  <si>
    <t>Településrendezési terv karbantartása, végrehajtása</t>
  </si>
  <si>
    <t>Jászkun Volán ZRt. önkormányzati támogatása</t>
  </si>
  <si>
    <t>Bursa Hungarica</t>
  </si>
  <si>
    <t>A kisgyermekes családok helyi tömeg-közlekedési támogatása a helyi tömeg-közlekedési költségek csökkentésére a családnak nyújtott természetbeni támogatás. Az előirányzat mintegy 400 "kismama" támogatását teszi lehetővé.</t>
  </si>
  <si>
    <t>Polgárőrség támogatása</t>
  </si>
  <si>
    <t>Külföldre történő utazások</t>
  </si>
  <si>
    <t>Reprezentáció</t>
  </si>
  <si>
    <t>Külföldi delegációk, nemzetközi vendégek fogadása</t>
  </si>
  <si>
    <t>Tolmácsolás, fordítás</t>
  </si>
  <si>
    <t>2008. évi normatív állami hozzájárulásának jogcímei és összegei intézményi bontásban</t>
  </si>
  <si>
    <t>2007/2008. tény</t>
  </si>
  <si>
    <t>2008/2009. becsült</t>
  </si>
  <si>
    <t>2007/2008.   tény 8/12</t>
  </si>
  <si>
    <t>2008/2009. becsült 4/12</t>
  </si>
  <si>
    <t>Óvodai nevelés 1. nevelési év</t>
  </si>
  <si>
    <t>Óvodai nevelés 2-3. nevelési év</t>
  </si>
  <si>
    <t>Óvodai nevelés 1-2. nevelési év</t>
  </si>
  <si>
    <t>Óvodai nevelés 3. nevelési év</t>
  </si>
  <si>
    <t>Beszédfogyatékos, enyhe értelmi fogyetékos, viselkedés fejlődésének organikus okokra visszavezethető, és nem visszavezethető tartós és súlyos rendellenessége miatt sajátos nevelési igényű gyermekek, tanulók</t>
  </si>
  <si>
    <t>Beszédfogyatékos, enyhe értelmi fogyetékos, viselkedés fejlődésének organikus okokra visszavezethető tartós és súlyos rendellenessége miatt sajátos nevelési igényű gyermekek, tanulók</t>
  </si>
  <si>
    <t>Viselkedés fejlődésének organikus okokra vissza nem vezethető tartós és súlyos rendellenessége miatt sajátos nevelési igényű gyermekek, tanulók</t>
  </si>
  <si>
    <t>Szolnok Városi Óvodák összesen:</t>
  </si>
  <si>
    <t>Iskolai oktatás 1. évfolyam (2007/2008. tanév)</t>
  </si>
  <si>
    <t>Egészségügyi és Szociális Szakközép- és Szakiskola és Alternatív Gimnázium</t>
  </si>
  <si>
    <t>Kereskedelmi és Vendéglátóipari Szakközép- és Szakiskola</t>
  </si>
  <si>
    <t>5. b. sz. melléklet</t>
  </si>
  <si>
    <t>Intézményi működési bevételek</t>
  </si>
  <si>
    <t>Ebből:</t>
  </si>
  <si>
    <t>4.</t>
  </si>
  <si>
    <t>Táppénz hozzájárulás</t>
  </si>
  <si>
    <t>VIII.</t>
  </si>
  <si>
    <t>Ellátottak pénzbeli juttatásai</t>
  </si>
  <si>
    <t>IX.</t>
  </si>
  <si>
    <t>Ö S S Z E S E N :</t>
  </si>
  <si>
    <t>Bartók Béla Zeneiskola</t>
  </si>
  <si>
    <t>Belvárosi Általános Iskola</t>
  </si>
  <si>
    <t>Kassai úti Általános Iskola</t>
  </si>
  <si>
    <t>Újvárosi Általános Iskola</t>
  </si>
  <si>
    <t>II.Rákóczi F.Általános Iskola</t>
  </si>
  <si>
    <t>Szolnok Megyei Jogú Város 2008. évi fejlesztési feladatok céltartaléka</t>
  </si>
  <si>
    <t>Kötvény kamat igénybevétel</t>
  </si>
  <si>
    <t>Hitelek / Kötvény igénybevétel</t>
  </si>
  <si>
    <t>Saját folyó bevétel (8-12)*0,7</t>
  </si>
  <si>
    <t>Korrigált saját bevétel a hitelfelvétel felső határa (13+14)</t>
  </si>
  <si>
    <t>Ft / mutató</t>
  </si>
  <si>
    <t>2008. évi támogatás tervezett előirányzata</t>
  </si>
  <si>
    <t>Óvodai nevelés 1. nevelési évben (1-8. hó)</t>
  </si>
  <si>
    <t>Óvodai nevelés 2-3. nevelési évben (1-8. hó)</t>
  </si>
  <si>
    <t>Óvodai nevelés 1-2. nevelési évben(9-12. hó)</t>
  </si>
  <si>
    <t>Óvodai nevelés 3. nevelési évben (9-12. hó)</t>
  </si>
  <si>
    <t>Általános iskolai oktatás 1. évfolyam (1-8. hó)</t>
  </si>
  <si>
    <t>Általános iskolai oktatás 2-3. évfolyam (1-8. hó)</t>
  </si>
  <si>
    <t>Általános iskolai oktatás 4. évfolyam (1-8. hó)</t>
  </si>
  <si>
    <t>Általános iskolai oktatás 5. évfolyam (1-8. hó)</t>
  </si>
  <si>
    <t>Általános iskolai oktatás 6. évfolyam (1-8. hó)</t>
  </si>
  <si>
    <t>Általános iskolai oktatás 7-8. évfolyam (1-8. hó)</t>
  </si>
  <si>
    <t>Általános iskolai oktatás 1-2. évfolyam (9-12. hó)</t>
  </si>
  <si>
    <t>Általános iskolai oktatás 3. évfolyam (9-12. hó)</t>
  </si>
  <si>
    <t>Általános iskolai oktatás 4. évfolyam (9-12. hó)</t>
  </si>
  <si>
    <t>Általános iskolai oktatás 5-6. évfolyam (9-12. hó)</t>
  </si>
  <si>
    <t>Általános iskolai oktatás 7-8. évfolyam (9-12. hó)</t>
  </si>
  <si>
    <t>Szakközépiskolai képzés 9. évfolyam (1-8. hó)</t>
  </si>
  <si>
    <t>Szakközépiskolai képzés 10. évfolyam (1-8. hó)</t>
  </si>
  <si>
    <t>Szakközépiskolai képzés 11-13. évfolyam (1-8. hó)</t>
  </si>
  <si>
    <t>Szakközépiskolai képzés 9-10. évfolyam (9-12. hó)</t>
  </si>
  <si>
    <t>Szakközépiskolai képzés 11-13. évfolyam (9-12. hó)</t>
  </si>
  <si>
    <t>Szakiskola, szakközépiskola harmadik és további szakképzési évfolyama (9-12. hó)
harmadik és további szakképzési évfolyama</t>
  </si>
  <si>
    <t>Szakmai elméleti képzés (felzárkóztató 9. évf., szakiskola 1/11évf., szakközépiskola 1/13. évf. 1-8. hó)</t>
  </si>
  <si>
    <t>Szakmai elméleti képzés (szakiskola 1/12. évf.tól, szakközépiskola 1/14. évfolyamától  1-8. hó)</t>
  </si>
  <si>
    <t>Felzárkóztató 9. évfolyam, szakiskola és szakközépiskola első és második szakképzési évfolyama (9-12. hó) szakiskola, szakközépiskola első-második szakképzési évfolyama</t>
  </si>
  <si>
    <t>Zeneművészeti ág előképző, alapképző (9-12. hó) és továbbképző évfolyama</t>
  </si>
  <si>
    <t>Képző- és iparművészeti, táncművészeti, szín- és bábművészeti ág előképző, alapképző és továbbképző évfolyama (9-12. hó)</t>
  </si>
  <si>
    <t>Kollégiumi, externátusi nevelés, ellátás (1-8. hó)</t>
  </si>
  <si>
    <t>Kollégiumi, externátusi nevelésre, oktatásra szervezett foglalkoztatási csoportok (9-12. hó)</t>
  </si>
  <si>
    <t xml:space="preserve">Fogyatékos tanulók, akik tanulmányi kötelezettségüket a rehabilitációs bizottság szakvéleménye alapján magántanulóként teljesítik, továbbá azon nem fogyatékosok tanulók, akik orvosi igazolás alapján magántanulók legalább heti 8 tanítási órában </t>
  </si>
  <si>
    <t>Napközis/tanulószobai foglalkozás 5-8. évfolyam</t>
  </si>
  <si>
    <t>Iskolai gyakorlati oktatás  a szakiskola és szakközépiskola 9-10. évfolyam</t>
  </si>
  <si>
    <r>
      <t>Beszédfogyatékos, enyhe értelmi fogyatékos, viselkedés fejlődésének organikus okokra vissza nem vezethető tartós és súlyos rendellenessége miatt sajátos nevelési igényű gyermekek, tanulók</t>
    </r>
    <r>
      <rPr>
        <b/>
        <sz val="11"/>
        <rFont val="Times New Roman"/>
        <family val="1"/>
      </rPr>
      <t xml:space="preserve"> </t>
    </r>
    <r>
      <rPr>
        <sz val="11"/>
        <rFont val="Times New Roman"/>
        <family val="1"/>
      </rPr>
      <t>(9-12. hó)</t>
    </r>
  </si>
  <si>
    <t>1. c. sz. melléklet</t>
  </si>
  <si>
    <t>A 2006. évben pályázott, 2007. évben megvalósításra kerülő 13 társasház (803 db lakás) felújítása, melynek forrása 1/3 részben az elnyerhető állami támogatás, 1/3 részben a lakók saját ereje, 1/3 részben önkormányzati támogatás.</t>
  </si>
  <si>
    <t>A beruházás célja önkormányztai telken 12 férőhelyes lakóotthon létesítése fogyatékos személyek részére. A beruházás megvalósításához a Szociális és Munkaügyi Minisztériumtól 77.5 millió Ft támogatást nyertünk.</t>
  </si>
  <si>
    <t>A két intézmény pénzügyi elszámolásához kapcsolódóan a kiadás, a támogatást folyósító Magyar Államkincstár jutaléka.</t>
  </si>
  <si>
    <t>A céljellegű decentralizált támogatással megvalósuló beruházás a városházán energiatakarékos fűtési rendszer megépítését célozza. Az előirányzat a vállakozási szerződés szerinti áthúzódó kifizetést, illetve a pénzügyi elszámolásához kapcsolódó államkincstári jutalékot tartalmazza.</t>
  </si>
  <si>
    <t>A koncepció vállalkozási szerződés szerint 2008-ra áthúzódó kiadása.</t>
  </si>
  <si>
    <t>A kiadás a projektekben nem elszámolható közbeszerzési hírdetmények költségeit, kommunikációs költségeket, bírságok fedezetét, jogorvoslathoz kapcsolódó kifizetéseket, sokszorosítás, másolás és tervdokumentációk felülvizsgálati költségét tartalmazza.</t>
  </si>
  <si>
    <t xml:space="preserve">             adatok millió Ft-ban</t>
  </si>
  <si>
    <t>Különleges helyzetben lévő gyermekek, tanulók támogatása (1-8. hóra)</t>
  </si>
  <si>
    <t>16.6</t>
  </si>
  <si>
    <t>3. Cigány Kisebbségi Önkormányzat átvett pénzeszköz</t>
  </si>
  <si>
    <t>4. Lengyel Kisebbségi Önkormányzat átvett pénzeszköz</t>
  </si>
  <si>
    <t xml:space="preserve">                 Idegenforgalmi adó</t>
  </si>
  <si>
    <t xml:space="preserve">                 Pótlék, bírság     </t>
  </si>
  <si>
    <t>Kassai úti Általános Iskola összesen:</t>
  </si>
  <si>
    <t xml:space="preserve">Szent-Györgyi Albert Általános Iskola </t>
  </si>
  <si>
    <t>Szent-Györgyi Albert Általános Iskola összesen:</t>
  </si>
  <si>
    <t xml:space="preserve">Széchenyi István Gimnázium és Általános Iskola </t>
  </si>
  <si>
    <t>Széchenyi István Gimnázium és Általános Iskola összesen:</t>
  </si>
  <si>
    <t>Városi Pedagógiai Szakszolgálat</t>
  </si>
  <si>
    <t>Egyéb felhalmozási bevétel:</t>
  </si>
  <si>
    <t>Sportcentrum Kht. bérleti díj</t>
  </si>
  <si>
    <t>Csarnok és Piac üzletek bérbeadása</t>
  </si>
  <si>
    <t>Személyi kiadások</t>
  </si>
  <si>
    <t>Szolnok Megyei Jogú Város Intézményszolgálata</t>
  </si>
  <si>
    <t>PH. Ellátó és Szolgáltató Szervezet</t>
  </si>
  <si>
    <t>Ipari Park Kft. hitel (Merkantil)</t>
  </si>
  <si>
    <t>€</t>
  </si>
  <si>
    <t>Hitel, kötvény és kezességvállalás együtt:</t>
  </si>
  <si>
    <t>2010. 
után</t>
  </si>
  <si>
    <t>Ebből 2008. és további évek</t>
  </si>
  <si>
    <t>Összesen (5+6+7+8)</t>
  </si>
  <si>
    <t>VI. Hitelek / kötvény igénybevétel</t>
  </si>
  <si>
    <t>Szolnok Megyei Jogú Város 2008. évi költségvetésében</t>
  </si>
  <si>
    <t>2008 - 2010.</t>
  </si>
  <si>
    <t>2006 - 2008.</t>
  </si>
  <si>
    <t>2005 - 2014.</t>
  </si>
  <si>
    <t xml:space="preserve">2007 - 2008. </t>
  </si>
  <si>
    <t>2005 - 2010.</t>
  </si>
  <si>
    <t>2007-2030.</t>
  </si>
  <si>
    <t>2007 - 2010.</t>
  </si>
  <si>
    <t>Kanizsa Tivadar tanmedence felújítása</t>
  </si>
  <si>
    <t xml:space="preserve">     c./ Fejlesztési feladatok céltartaléka</t>
  </si>
  <si>
    <t xml:space="preserve">     d./ Intézményi feladatok céltartaléka</t>
  </si>
  <si>
    <t xml:space="preserve">     a./ Adósságszolgálati céltartalék</t>
  </si>
  <si>
    <t>Kistérség feladatok támogatása</t>
  </si>
  <si>
    <t>13.</t>
  </si>
  <si>
    <t>18.</t>
  </si>
  <si>
    <t>19.</t>
  </si>
  <si>
    <t>20.</t>
  </si>
  <si>
    <t>21.</t>
  </si>
  <si>
    <t>22.</t>
  </si>
  <si>
    <t>23.</t>
  </si>
  <si>
    <t>24.</t>
  </si>
  <si>
    <t>25.</t>
  </si>
  <si>
    <t>26.</t>
  </si>
  <si>
    <t>27.</t>
  </si>
  <si>
    <t>28.</t>
  </si>
  <si>
    <t>29.</t>
  </si>
  <si>
    <t>30.</t>
  </si>
  <si>
    <t>31.</t>
  </si>
  <si>
    <t>32.</t>
  </si>
  <si>
    <t>33.</t>
  </si>
  <si>
    <t>34.</t>
  </si>
  <si>
    <t>35.</t>
  </si>
  <si>
    <t>36.</t>
  </si>
  <si>
    <t>37.</t>
  </si>
  <si>
    <t>38.</t>
  </si>
  <si>
    <t>39.</t>
  </si>
  <si>
    <t>40.</t>
  </si>
  <si>
    <t>41.</t>
  </si>
  <si>
    <t xml:space="preserve"> 2008. évi kötött  állami hozzájárulásának jogcímei és összegei intézményenkénti bontásban</t>
  </si>
  <si>
    <t>Egyedi meghibásodások fenntartási költsége: 5000 eFt.  Épületek, szobrok, közterek díszvilágításának, közparkok, sporttelepek speciális megvilágításának fenntartása. Önkormányzati tulajdonú közvilágítás üzemeltetése: 400 db, 3220 Ft/db, 15 % díjnövekedés+ Áfa= 1.780 eFt.</t>
  </si>
  <si>
    <t>Iskolai oktatás 4. évfolyam (2007/2008. tanév)</t>
  </si>
  <si>
    <t>Iskolai oktatás 6. évfolyam (2007/2008. tanév)</t>
  </si>
  <si>
    <t>Iskolai oktatás 7-8. évfolyam (2007/2008. tanév)</t>
  </si>
  <si>
    <t>Iskolai oktatás 1-2. évfolyam (2008/2009. tanév)</t>
  </si>
  <si>
    <t>Iskolai oktatás 3. évfolyam (2008/2009. tanév)</t>
  </si>
  <si>
    <t>Iskolai oktatás 4. évfolyam (2008/2009. tanév)</t>
  </si>
  <si>
    <t>Iskolai oktatás 5-6. évfolyam (2008/2009. tanév)</t>
  </si>
  <si>
    <t>1-4. évfolyamos napközis foglalkoztatás 9-12. hóra</t>
  </si>
  <si>
    <t>Iskolai oktatás 7-8. évfolyam (2008/2009. tanév)</t>
  </si>
  <si>
    <t>Iskolai oktatás 9. évfolyamon (2007/2008. tanév)</t>
  </si>
  <si>
    <t>Iskolai oktatás 10. évfolyamon (2007/2008. tanév)</t>
  </si>
  <si>
    <t>Felzárkóztató 9. évfolyam, szakiskola, szakközépiskola első-második szakképzési évfolyama (2008/2009. tanév)</t>
  </si>
  <si>
    <t>Középiskolába, szakiskolába bejáró tanulók 1-8. hónapra</t>
  </si>
  <si>
    <t>Középiskolába, szakiskolába bejáró tanulók 9-12. hónapra</t>
  </si>
  <si>
    <t>Kollégiumi, externátusi nevelés, ellátás 9-12. hónapra</t>
  </si>
  <si>
    <t>Tiszaparti Gimnázium és Humán Szakközépiskola</t>
  </si>
  <si>
    <t>Tiszaparti Gimnázium és Humán Szakközépiskola összesen:</t>
  </si>
  <si>
    <t>Gépipari, Közlekedési Szakközép - és Szakiskola</t>
  </si>
  <si>
    <t>Pálfy János Műszeripari és Vegyipari Szakközépiskola</t>
  </si>
  <si>
    <t>Tiszaliget infrastrukturális fejlesztése</t>
  </si>
  <si>
    <t>Tiszaligeti műfüves pálya</t>
  </si>
  <si>
    <t>Új út építési program</t>
  </si>
  <si>
    <t>Meglévő utak felújítása (egyéb utak)</t>
  </si>
  <si>
    <t>Járdaépítés, felújítás</t>
  </si>
  <si>
    <t>Parkok felszerelése</t>
  </si>
  <si>
    <t>Fásítási program</t>
  </si>
  <si>
    <t>A Kossuth tér és környezete épületeinek, építményeinek, infrastruktúrájának, zöldterületeinek átalakítása és felújítása  813.884 ezer Ft Európai Uniós,  162.016 ezer Ft kormányzati, valamint  76.200 ezer Ft BM önerő kiegészítő támogatással.</t>
  </si>
  <si>
    <t>A térségben komplex hulladékgazdálkodási rendszer kiépítése az európai normák szerinti, ártalommentes hulladékelhelyezés érdekében. A megvalósítás Európai Uniós (ISPA) és kormányzati (KvVM) támogatással történik.</t>
  </si>
  <si>
    <t>A 363/2005.(IX.22.) sz. Közgyűlési határozat szerinti, városi szintű egységes számítógépes hálózati rendszerben működő pénzügyi, számviteli rendszer kialakítása.</t>
  </si>
  <si>
    <t xml:space="preserve">Lefolyástalan területek vízmentesítése szivattyúzással (500 üó/év), illetve szippantással (200 m3/év), a város egyes területei csapadékvíz, illetve belvíz általi elöntésének megakadályozása. </t>
  </si>
  <si>
    <t>2007. évi terv</t>
  </si>
  <si>
    <t>Nem magyar nyelven folyó nevelés és oktatás, valamint a roma kisebbségi oktatás óvodában</t>
  </si>
  <si>
    <t>Nemzetiségi nyelvű, két tanítási nyelvű oktatás, nyelvi előkészítő oktatás</t>
  </si>
  <si>
    <t>Nyelvi előkészítő évfolyamon tanulók</t>
  </si>
  <si>
    <t>Egyes pedagógiai programok támogatása</t>
  </si>
  <si>
    <t>16.10.</t>
  </si>
  <si>
    <t>16.10.b.</t>
  </si>
  <si>
    <t>16.11.</t>
  </si>
  <si>
    <t xml:space="preserve">Gyermek- és ifjúságvédelemmel összefüggő szociális juttatások, szolgáltatások </t>
  </si>
  <si>
    <t>17.</t>
  </si>
  <si>
    <t>Óvodában, iskolában, kollégiumban szervezett kedvezményes étkeztetés</t>
  </si>
  <si>
    <t>Tanulók ingyenes tankönyvellátása</t>
  </si>
  <si>
    <t>Helyi közművelődési és közgyűjteményi feladatok</t>
  </si>
  <si>
    <t>Normatív hozzájárulások összesen:</t>
  </si>
  <si>
    <t>NORMATÍV, KÖTÖTT FELHASZNÁLÁSÚ TÁMOGATÁSOK</t>
  </si>
  <si>
    <t>Pedagógus szakvizsga, továbbképzés, emelt szintű érettségi vizsgáztatásra való felkészülés támogatása</t>
  </si>
  <si>
    <t>8.I.1.</t>
  </si>
  <si>
    <t>Pedagógiai szakszolgálat</t>
  </si>
  <si>
    <t>8.I.3.</t>
  </si>
  <si>
    <t>Önkormányzat által szervezett közfoglalkoztatás támogatása</t>
  </si>
  <si>
    <t>8.II.2.</t>
  </si>
  <si>
    <t>Szociális továbbképzés és szakvizsga</t>
  </si>
  <si>
    <t>8.II.3.</t>
  </si>
  <si>
    <t>Részösszesen:</t>
  </si>
  <si>
    <t>Helyi önkormányzati hivatásos tűzoltóságok támogatása</t>
  </si>
  <si>
    <t>8.III.</t>
  </si>
  <si>
    <t>Normatív, kötött felhasználású hozzájárulások összesen:</t>
  </si>
  <si>
    <t>NORMATÍV ÁLLAMI HOZZÁJÁRULÁS ÖSSZESEN:</t>
  </si>
  <si>
    <t>Színház támogatása</t>
  </si>
  <si>
    <t>Támogatások mindösszesen:</t>
  </si>
  <si>
    <t xml:space="preserve">        TVM lakótelep vásárlás 2003.</t>
  </si>
  <si>
    <t xml:space="preserve">        Intézmények felújítása 2003.</t>
  </si>
  <si>
    <t xml:space="preserve">        Útépítések 2001.</t>
  </si>
  <si>
    <t xml:space="preserve">        Sportcsarnok 2002.</t>
  </si>
  <si>
    <t xml:space="preserve">        Útépítések 2002.</t>
  </si>
  <si>
    <t xml:space="preserve">        TVM lakótelep vásárlás 2002.</t>
  </si>
  <si>
    <t xml:space="preserve">        Útépítések 2003.</t>
  </si>
  <si>
    <t xml:space="preserve">        Beruházási hitel 2004.</t>
  </si>
  <si>
    <t xml:space="preserve">        Beruházási hitel 2004. (áthúzódó)</t>
  </si>
  <si>
    <t xml:space="preserve">        Útépítések 2005. </t>
  </si>
  <si>
    <t>Osztalék bevétel</t>
  </si>
  <si>
    <t>Összesen (1+2+3+4+5+6+7)</t>
  </si>
  <si>
    <t>Összesen (9+10+11)</t>
  </si>
  <si>
    <t>1.3. Kiegészítő támogatás a helyi önkormányzat bérkiadásaihoz</t>
  </si>
  <si>
    <t>Szandaszőlősi Általános Iskola, Művelődési Ház és Alapfokú Művészetoktatási Intézmény</t>
  </si>
  <si>
    <t>Mátyás Király Általános Iskola és Alapfokú Művészetoktatási Intézmény</t>
  </si>
  <si>
    <t>Kőrösi Csoma Sándor Általános Iskola és Konstantin Alapfokú Művészetoktatási Intézmény</t>
  </si>
  <si>
    <t>2005 - 2008.</t>
  </si>
  <si>
    <t>Szolnoki kiállítások, konferenciák szervezése, támogatása</t>
  </si>
  <si>
    <t>Autóbuszvárók tisztítása, karbantartása, az autóbuszvárókon keletkezett rongálások, megszűntetése.</t>
  </si>
  <si>
    <t xml:space="preserve">A közmű alaptérképek az e-Szolnok Projekt keretében megvalósult Térinformatikai és Közműnyilvántartási modul digitális adattartalommal (síkrajzi és közműtartalom) történő feltöltése. </t>
  </si>
  <si>
    <t>A közterületi létesítmények folyamatos fenntartásához, különösen a műalkotások védelméhez az évközi szükségletek alapján felmerülő kiadások fedezetére nyújt az előirányzat fedezetet.</t>
  </si>
  <si>
    <t>Történelmi egyházak támogatása</t>
  </si>
  <si>
    <t>ÖMIP 8 intézmény ellenőrzése</t>
  </si>
  <si>
    <t>Közoktatási Közalapítványhoz benyújtandó pályázatok önrésze (Taneszköz beszerzés)</t>
  </si>
  <si>
    <t>Oktatási célú támogatás</t>
  </si>
  <si>
    <t>"Ifjúságért" Egyesület működési támogatása</t>
  </si>
  <si>
    <t>Gyermek- és Ifjúsági Közalapítvány</t>
  </si>
  <si>
    <t>Kamasz-Tanya támogatása</t>
  </si>
  <si>
    <t xml:space="preserve">Ifjúsági közösségi tér kialakítása (Temi Borostyán Műv. Ház) </t>
  </si>
  <si>
    <t>A 49/2005. (X.28.) KR. rendelet 16.§ (1) bekezdése szerinti lomtalanítás, lombtalanítás, valamint zöldhulladék begyűjtése.</t>
  </si>
  <si>
    <t>Jogszabályban előírt kötelezettség a veszélyes és karantén kártevők (pl. aranka, tűzelhalás, amerikai szövőlepke) elleni védekezés.</t>
  </si>
  <si>
    <t>Az Önkormányzat által önkormányzati feladat végrehajtására létrehozott alapítvány támogatása (Alcsi Holt Tiszáért Közalapítvány).</t>
  </si>
  <si>
    <t>Egyéb üzemeltetési feladatok</t>
  </si>
  <si>
    <t>Építmények, építményrészek lebontása, törmelékek elszállíttatása, kiköltöztetés.</t>
  </si>
  <si>
    <t>Tervtanácsi tagok tiszteletdíja és munkaadót terhelő járulékok.</t>
  </si>
  <si>
    <t>Településrendezési tervek felülvizsgálata a közigazgatási területre, szabályozási terv módosítás.</t>
  </si>
  <si>
    <t>Belvárosi rehabilitáció keretében 3 db városképileg jelentős épület homlokzatfelújításának támogatása.</t>
  </si>
  <si>
    <t>JNSZ Megyei Közoktatási Közalapítvány</t>
  </si>
  <si>
    <t>JNSZ Megye Tudományáért Közalapítvány</t>
  </si>
  <si>
    <t>Étkezési díjhátralék kezelésére.</t>
  </si>
  <si>
    <t xml:space="preserve">Integrált Oktatásért Alapítvánnyal kötött megállapodás. </t>
  </si>
  <si>
    <t>Módosított Pedagógiai Programok, egyéb szakértői díjak; Közoktatási Esélyegyenlőségi Akcióterv; Városi szintű pedagógus értékelési rendszer.</t>
  </si>
  <si>
    <t>A közgyűlés hatályos döntésének megfelelő juttatások biztosítása.</t>
  </si>
  <si>
    <t>Vezetőpolitikai koncepció kidolgozása.</t>
  </si>
  <si>
    <t>Intézményvezetői tanulmányút.</t>
  </si>
  <si>
    <t>Intézményi informatikai feladatok ellátása céljellegű támogatásból.</t>
  </si>
  <si>
    <t>Igazgatói értekezletek, Vezetői Kollégium működtetése; előadók felkérése.</t>
  </si>
  <si>
    <t>Tanulmányi versenyeken kiemelkedően szereplő tanulók és tanáraik köszöntése.</t>
  </si>
  <si>
    <t>Pedagógusnap és Évzáró rendezvény megtartása.</t>
  </si>
  <si>
    <t>Országos zenekari verseny; Friss Antal Gordonkaverseny.</t>
  </si>
  <si>
    <t>Jogszabályi előírás az ebek nyilvántartásba vétele, és a hatósági eboltás megszervezése. A keret lehetővé teszi ezen feladatok elvégzését.</t>
  </si>
  <si>
    <t>Sporteredményességi támogatás.</t>
  </si>
  <si>
    <t>Diákok nyári munkája.</t>
  </si>
  <si>
    <t>Egyéb sportfeladatok.</t>
  </si>
  <si>
    <t xml:space="preserve">Önkormányzat és a rendőrség között létrejött megállapodásban megfogalmazott feladatok végrehajtása. </t>
  </si>
  <si>
    <t xml:space="preserve">Feladatok leírása </t>
  </si>
  <si>
    <t>Tisza-pArt Mozi önkormányzati támogatása.</t>
  </si>
  <si>
    <t>Közművelődési színterek támogatása; Szolnoki Panteon bővítése; közmművelődési kiadványok, rendezvények, kulturális szervezetek programjainak szervezése</t>
  </si>
  <si>
    <t>Civil szervezetek támogatása pályáztatás útján.</t>
  </si>
  <si>
    <t>Családi napközi támogatása.</t>
  </si>
  <si>
    <t>Hivatal által szervezett városi ünnepek; Kulturális Díj; Pedagógiai Díj; Dr. Laki Kálmán Díj; Ezüst Pelikán Díj; Díszpolgári címmel járó kifizetések.</t>
  </si>
  <si>
    <t xml:space="preserve">A közszolgáltatási feladatok szeriti feladatok ellátása. </t>
  </si>
  <si>
    <t>A környezet tudatos nevelés és a természeti környezet ápolási feladatainak támogatása önkormányzati intézmények és egyéb szervezetek részére.</t>
  </si>
  <si>
    <t>Egyéb szociális feladatok: pályázatok, programok hirdetési díjai, tervdokumentumok készíttetése, szervezetek működéséhez, valamint az általuk szervezett rendezvények támogatása. Közhasznú foglalkoztatáshoz önrész biztosítása. Szakmai továbbképzések részvételi díja. Egyéb, a szociális és gyermekvédelmi területet érintő, előre nem tervezhető kiadások.</t>
  </si>
  <si>
    <t>Hátrányos helyzetű területek közegészségügyi feladatainak költsége.</t>
  </si>
  <si>
    <t>Tavaszi-őszi fesztivál.</t>
  </si>
</sst>
</file>

<file path=xl/styles.xml><?xml version="1.0" encoding="utf-8"?>
<styleSheet xmlns="http://schemas.openxmlformats.org/spreadsheetml/2006/main">
  <numFmts count="4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
    <numFmt numFmtId="165" formatCode="#,##0.0"/>
    <numFmt numFmtId="166" formatCode="#,###.00"/>
    <numFmt numFmtId="167" formatCode="#,##0_ ;[Red]\-#,##0\ "/>
    <numFmt numFmtId="168" formatCode="_-* #,##0\ _F_t_-;\-* #,##0\ _F_t_-;_-* &quot;-&quot;??\ _F_t_-;_-@_-"/>
    <numFmt numFmtId="169" formatCode="#,###.0"/>
    <numFmt numFmtId="170" formatCode="#,###.000"/>
    <numFmt numFmtId="171" formatCode="0.0"/>
    <numFmt numFmtId="172" formatCode="0.000"/>
    <numFmt numFmtId="173" formatCode="#,###.0000"/>
    <numFmt numFmtId="174" formatCode="[$-40E]yyyy\.\ mmmm\ d\."/>
    <numFmt numFmtId="175" formatCode="0.0%"/>
    <numFmt numFmtId="176" formatCode="0.000000%"/>
    <numFmt numFmtId="177" formatCode="0.0000"/>
    <numFmt numFmtId="178" formatCode="#,##0.000"/>
    <numFmt numFmtId="179" formatCode="#,##0.0000"/>
    <numFmt numFmtId="180" formatCode="#,##0.00000"/>
    <numFmt numFmtId="181" formatCode="#,##0.000000"/>
    <numFmt numFmtId="182" formatCode="#,##0.0000000"/>
    <numFmt numFmtId="183" formatCode="#,##0.00000000"/>
    <numFmt numFmtId="184" formatCode="#,##0.000000000"/>
    <numFmt numFmtId="185" formatCode="#,##0.0000000000"/>
    <numFmt numFmtId="186" formatCode="#"/>
    <numFmt numFmtId="187" formatCode="_-* #,##0.000\ _F_t_-;\-* #,##0.000\ _F_t_-;_-* &quot;-&quot;??\ _F_t_-;_-@_-"/>
    <numFmt numFmtId="188" formatCode="#,###.00000"/>
    <numFmt numFmtId="189" formatCode="#,###.000000"/>
    <numFmt numFmtId="190" formatCode="#,##0.0\ _F_t;[Red]#,##0.0\ _F_t"/>
    <numFmt numFmtId="191" formatCode="_-* #,##0.00_-;\-* #,##0.00_-;_-* &quot;-&quot;??_-;_-@_-"/>
    <numFmt numFmtId="192" formatCode="#,##0.0_ ;[Red]\-#,##0.0\ "/>
    <numFmt numFmtId="193" formatCode="0.000000"/>
    <numFmt numFmtId="194" formatCode="0.00000"/>
    <numFmt numFmtId="195" formatCode="&quot;Igen&quot;;&quot;Igen&quot;;&quot;Nem&quot;"/>
    <numFmt numFmtId="196" formatCode="&quot;Igaz&quot;;&quot;Igaz&quot;;&quot;Hamis&quot;"/>
    <numFmt numFmtId="197" formatCode="&quot;Be&quot;;&quot;Be&quot;;&quot;Ki&quot;"/>
    <numFmt numFmtId="198" formatCode="_-* #,##0.0\ _F_t_-;\-* #,##0.0\ _F_t_-;_-* &quot;-&quot;??\ _F_t_-;_-@_-"/>
    <numFmt numFmtId="199" formatCode="#,##0_ ;\-#,##0\ "/>
    <numFmt numFmtId="200" formatCode="yyyy\.mm\.dd"/>
    <numFmt numFmtId="201" formatCode="#,###.0000000"/>
    <numFmt numFmtId="202" formatCode="#,###.00000000"/>
  </numFmts>
  <fonts count="72">
    <font>
      <sz val="10"/>
      <name val="Arial"/>
      <family val="0"/>
    </font>
    <font>
      <u val="single"/>
      <sz val="10"/>
      <color indexed="12"/>
      <name val="Arial CE"/>
      <family val="0"/>
    </font>
    <font>
      <u val="single"/>
      <sz val="10"/>
      <color indexed="36"/>
      <name val="Arial CE"/>
      <family val="0"/>
    </font>
    <font>
      <sz val="12"/>
      <name val="Times New Roman CE"/>
      <family val="0"/>
    </font>
    <font>
      <b/>
      <sz val="10"/>
      <name val="Times New Roman"/>
      <family val="1"/>
    </font>
    <font>
      <sz val="10"/>
      <name val="Times New Roman"/>
      <family val="1"/>
    </font>
    <font>
      <i/>
      <sz val="10"/>
      <name val="Times New Roman"/>
      <family val="1"/>
    </font>
    <font>
      <sz val="8"/>
      <name val="Times New Roman"/>
      <family val="1"/>
    </font>
    <font>
      <sz val="10"/>
      <name val="Arial CE"/>
      <family val="0"/>
    </font>
    <font>
      <b/>
      <sz val="11"/>
      <name val="Times New Roman"/>
      <family val="1"/>
    </font>
    <font>
      <sz val="9"/>
      <name val="Times New Roman"/>
      <family val="1"/>
    </font>
    <font>
      <sz val="11"/>
      <name val="Times New Roman"/>
      <family val="1"/>
    </font>
    <font>
      <b/>
      <sz val="10"/>
      <name val="Times New Roman CE"/>
      <family val="1"/>
    </font>
    <font>
      <sz val="8"/>
      <name val="Arial"/>
      <family val="0"/>
    </font>
    <font>
      <b/>
      <sz val="8"/>
      <name val="Times New Roman CE"/>
      <family val="1"/>
    </font>
    <font>
      <sz val="10"/>
      <name val="Times New Roman CE"/>
      <family val="1"/>
    </font>
    <font>
      <b/>
      <sz val="9"/>
      <name val="Times New Roman CE"/>
      <family val="1"/>
    </font>
    <font>
      <sz val="9"/>
      <name val="Times New Roman CE"/>
      <family val="1"/>
    </font>
    <font>
      <b/>
      <sz val="12"/>
      <name val="Times New Roman CE"/>
      <family val="1"/>
    </font>
    <font>
      <sz val="12"/>
      <name val="Times New Roman"/>
      <family val="1"/>
    </font>
    <font>
      <b/>
      <sz val="11"/>
      <name val="Times New Roman CE"/>
      <family val="1"/>
    </font>
    <font>
      <sz val="8"/>
      <name val="Times New Roman CE"/>
      <family val="1"/>
    </font>
    <font>
      <i/>
      <sz val="11"/>
      <name val="Times New Roman"/>
      <family val="1"/>
    </font>
    <font>
      <b/>
      <sz val="12"/>
      <name val="Times New Roman"/>
      <family val="1"/>
    </font>
    <font>
      <sz val="11"/>
      <name val="Times New Roman CE"/>
      <family val="0"/>
    </font>
    <font>
      <sz val="11"/>
      <name val="Arial"/>
      <family val="0"/>
    </font>
    <font>
      <b/>
      <u val="single"/>
      <sz val="11"/>
      <name val="Times New Roman"/>
      <family val="1"/>
    </font>
    <font>
      <b/>
      <sz val="11"/>
      <name val="Arial"/>
      <family val="2"/>
    </font>
    <font>
      <sz val="11"/>
      <color indexed="12"/>
      <name val="Arial"/>
      <family val="0"/>
    </font>
    <font>
      <i/>
      <sz val="12"/>
      <name val="Times New Roman CE"/>
      <family val="0"/>
    </font>
    <font>
      <sz val="16"/>
      <name val="Times New Roman CE"/>
      <family val="1"/>
    </font>
    <font>
      <b/>
      <sz val="16"/>
      <name val="Times New Roman CE"/>
      <family val="1"/>
    </font>
    <font>
      <sz val="14"/>
      <name val="Times New Roman CE"/>
      <family val="1"/>
    </font>
    <font>
      <b/>
      <i/>
      <sz val="11"/>
      <name val="Times New Roman"/>
      <family val="1"/>
    </font>
    <font>
      <b/>
      <u val="single"/>
      <sz val="10"/>
      <name val="Times New Roman"/>
      <family val="1"/>
    </font>
    <font>
      <b/>
      <sz val="14"/>
      <name val="Times New Roman"/>
      <family val="1"/>
    </font>
    <font>
      <b/>
      <sz val="11"/>
      <name val="Times New Roman "/>
      <family val="0"/>
    </font>
    <font>
      <sz val="12"/>
      <name val="Times New Roman "/>
      <family val="0"/>
    </font>
    <font>
      <sz val="11"/>
      <name val="Times New Roman "/>
      <family val="0"/>
    </font>
    <font>
      <i/>
      <sz val="10"/>
      <name val="Times New Roman CE"/>
      <family val="0"/>
    </font>
    <font>
      <sz val="11"/>
      <color indexed="8"/>
      <name val="Times New Roman"/>
      <family val="2"/>
    </font>
    <font>
      <sz val="11"/>
      <color indexed="9"/>
      <name val="Times New Roman"/>
      <family val="2"/>
    </font>
    <font>
      <sz val="11"/>
      <color indexed="62"/>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b/>
      <sz val="11"/>
      <color indexed="9"/>
      <name val="Times New Roman"/>
      <family val="2"/>
    </font>
    <font>
      <sz val="11"/>
      <color indexed="10"/>
      <name val="Times New Roman"/>
      <family val="2"/>
    </font>
    <font>
      <sz val="11"/>
      <color indexed="52"/>
      <name val="Times New Roman"/>
      <family val="2"/>
    </font>
    <font>
      <sz val="11"/>
      <color indexed="17"/>
      <name val="Times New Roman"/>
      <family val="2"/>
    </font>
    <font>
      <b/>
      <sz val="11"/>
      <color indexed="63"/>
      <name val="Times New Roman"/>
      <family val="2"/>
    </font>
    <font>
      <i/>
      <sz val="11"/>
      <color indexed="23"/>
      <name val="Times New Roman"/>
      <family val="2"/>
    </font>
    <font>
      <sz val="11"/>
      <color indexed="10"/>
      <name val="Calibri"/>
      <family val="2"/>
    </font>
    <font>
      <sz val="11"/>
      <color indexed="8"/>
      <name val="Calibri"/>
      <family val="2"/>
    </font>
    <font>
      <b/>
      <sz val="11"/>
      <color indexed="8"/>
      <name val="Times New Roman"/>
      <family val="2"/>
    </font>
    <font>
      <sz val="11"/>
      <color indexed="20"/>
      <name val="Times New Roman"/>
      <family val="2"/>
    </font>
    <font>
      <sz val="11"/>
      <color indexed="60"/>
      <name val="Times New Roman"/>
      <family val="2"/>
    </font>
    <font>
      <b/>
      <sz val="11"/>
      <color indexed="52"/>
      <name val="Times New Roman"/>
      <family val="2"/>
    </font>
    <font>
      <sz val="8"/>
      <name val="Calibri"/>
      <family val="2"/>
    </font>
    <font>
      <sz val="10"/>
      <color indexed="8"/>
      <name val="Times New Roman"/>
      <family val="1"/>
    </font>
    <font>
      <b/>
      <sz val="10"/>
      <color indexed="8"/>
      <name val="Times New Roman"/>
      <family val="1"/>
    </font>
    <font>
      <b/>
      <sz val="16"/>
      <name val="Times New Roman"/>
      <family val="1"/>
    </font>
    <font>
      <vertAlign val="superscript"/>
      <sz val="11"/>
      <name val="Times New Roman CE"/>
      <family val="0"/>
    </font>
    <font>
      <sz val="16"/>
      <name val="Times New Roman"/>
      <family val="1"/>
    </font>
    <font>
      <b/>
      <sz val="18"/>
      <name val="Times New Roman"/>
      <family val="1"/>
    </font>
    <font>
      <sz val="18"/>
      <name val="Times New Roman"/>
      <family val="1"/>
    </font>
    <font>
      <b/>
      <u val="single"/>
      <sz val="12"/>
      <name val="Times New Roman CE"/>
      <family val="1"/>
    </font>
    <font>
      <b/>
      <i/>
      <sz val="12"/>
      <name val="Times New Roman"/>
      <family val="1"/>
    </font>
    <font>
      <b/>
      <i/>
      <sz val="11"/>
      <name val="Times New Roman CE"/>
      <family val="0"/>
    </font>
    <font>
      <sz val="10"/>
      <color indexed="9"/>
      <name val="Times New Roman"/>
      <family val="1"/>
    </font>
    <font>
      <b/>
      <sz val="10"/>
      <color indexed="9"/>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65"/>
        <bgColor indexed="64"/>
      </patternFill>
    </fill>
    <fill>
      <patternFill patternType="solid">
        <fgColor indexed="9"/>
        <bgColor indexed="64"/>
      </patternFill>
    </fill>
  </fills>
  <borders count="13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style="hair"/>
      <right style="hair"/>
      <top style="hair"/>
      <bottom>
        <color indexed="63"/>
      </bottom>
    </border>
    <border>
      <left style="thin"/>
      <right style="hair"/>
      <top style="hair"/>
      <bottom style="hair"/>
    </border>
    <border>
      <left style="hair"/>
      <right style="thin"/>
      <top style="thin"/>
      <bottom style="thin"/>
    </border>
    <border>
      <left style="hair"/>
      <right style="thin"/>
      <top style="hair"/>
      <bottom style="hair"/>
    </border>
    <border>
      <left style="hair"/>
      <right style="thin"/>
      <top style="hair"/>
      <bottom>
        <color indexed="63"/>
      </bottom>
    </border>
    <border>
      <left style="hair"/>
      <right style="hair"/>
      <top style="thin"/>
      <bottom style="thin"/>
    </border>
    <border>
      <left style="thin"/>
      <right style="hair"/>
      <top style="thin"/>
      <bottom style="thin"/>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hair"/>
      <right style="thin"/>
      <top>
        <color indexed="63"/>
      </top>
      <bottom style="hair"/>
    </border>
    <border>
      <left style="thin"/>
      <right style="hair"/>
      <top>
        <color indexed="63"/>
      </top>
      <bottom style="hair"/>
    </border>
    <border>
      <left style="hair"/>
      <right style="hair"/>
      <top>
        <color indexed="63"/>
      </top>
      <bottom style="hair"/>
    </border>
    <border>
      <left style="thin"/>
      <right style="hair"/>
      <top style="hair"/>
      <bottom>
        <color indexed="63"/>
      </bottom>
    </border>
    <border>
      <left style="hair"/>
      <right style="hair"/>
      <top style="thin"/>
      <bottom style="hair"/>
    </border>
    <border>
      <left style="hair"/>
      <right style="hair"/>
      <top style="hair"/>
      <bottom style="thin"/>
    </border>
    <border>
      <left>
        <color indexed="63"/>
      </left>
      <right>
        <color indexed="63"/>
      </right>
      <top style="thin"/>
      <bottom style="thin"/>
    </border>
    <border>
      <left style="thin"/>
      <right>
        <color indexed="63"/>
      </right>
      <top style="thin"/>
      <bottom style="thin"/>
    </border>
    <border>
      <left style="hair"/>
      <right style="hair"/>
      <top style="thin"/>
      <bottom>
        <color indexed="63"/>
      </bottom>
    </border>
    <border>
      <left style="hair"/>
      <right style="hair"/>
      <top>
        <color indexed="63"/>
      </top>
      <bottom style="thin"/>
    </border>
    <border>
      <left>
        <color indexed="63"/>
      </left>
      <right style="thin"/>
      <top style="thin"/>
      <bottom style="thin"/>
    </border>
    <border>
      <left>
        <color indexed="63"/>
      </left>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hair"/>
      <right style="thin"/>
      <top>
        <color indexed="63"/>
      </top>
      <bottom>
        <color indexed="63"/>
      </bottom>
    </border>
    <border>
      <left style="hair"/>
      <right style="hair"/>
      <top>
        <color indexed="63"/>
      </top>
      <bottom>
        <color indexed="63"/>
      </bottom>
    </border>
    <border>
      <left>
        <color indexed="63"/>
      </left>
      <right style="hair"/>
      <top style="hair"/>
      <bottom style="hair"/>
    </border>
    <border>
      <left>
        <color indexed="63"/>
      </left>
      <right style="hair"/>
      <top style="thin"/>
      <bottom style="thin"/>
    </border>
    <border>
      <left>
        <color indexed="63"/>
      </left>
      <right style="hair"/>
      <top>
        <color indexed="63"/>
      </top>
      <bottom style="hair"/>
    </border>
    <border>
      <left>
        <color indexed="63"/>
      </left>
      <right style="hair"/>
      <top style="hair"/>
      <bottom>
        <color indexed="63"/>
      </bottom>
    </border>
    <border>
      <left>
        <color indexed="63"/>
      </left>
      <right style="hair"/>
      <top>
        <color indexed="63"/>
      </top>
      <bottom>
        <color indexed="63"/>
      </bottom>
    </border>
    <border>
      <left style="hair"/>
      <right style="thin"/>
      <top style="thin"/>
      <bottom>
        <color indexed="63"/>
      </bottom>
    </border>
    <border>
      <left style="thin"/>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color indexed="63"/>
      </right>
      <top>
        <color indexed="63"/>
      </top>
      <bottom style="hair"/>
    </border>
    <border>
      <left style="thin"/>
      <right>
        <color indexed="63"/>
      </right>
      <top style="hair"/>
      <bottom style="hair"/>
    </border>
    <border>
      <left style="thin"/>
      <right style="hair"/>
      <top style="thin"/>
      <bottom style="hair"/>
    </border>
    <border>
      <left style="hair"/>
      <right style="thin"/>
      <top style="thin"/>
      <bottom style="hair"/>
    </border>
    <border>
      <left style="hair"/>
      <right style="thin"/>
      <top>
        <color indexed="63"/>
      </top>
      <bottom style="thin"/>
    </border>
    <border>
      <left>
        <color indexed="63"/>
      </left>
      <right style="hair"/>
      <top style="hair"/>
      <bottom style="thin"/>
    </border>
    <border>
      <left>
        <color indexed="63"/>
      </left>
      <right style="hair"/>
      <top>
        <color indexed="63"/>
      </top>
      <bottom style="thin"/>
    </border>
    <border>
      <left style="thin"/>
      <right style="hair"/>
      <top style="hair"/>
      <bottom style="thin"/>
    </border>
    <border>
      <left style="thin"/>
      <right style="double"/>
      <top style="thin"/>
      <bottom style="thin"/>
    </border>
    <border>
      <left style="hair"/>
      <right>
        <color indexed="63"/>
      </right>
      <top style="hair"/>
      <bottom style="hair"/>
    </border>
    <border>
      <left style="hair"/>
      <right style="thin"/>
      <top style="hair"/>
      <bottom style="thin"/>
    </border>
    <border>
      <left style="double"/>
      <right>
        <color indexed="63"/>
      </right>
      <top style="thin"/>
      <bottom style="thin"/>
    </border>
    <border>
      <left style="thin"/>
      <right style="thin"/>
      <top style="thin"/>
      <bottom>
        <color indexed="63"/>
      </bottom>
    </border>
    <border>
      <left style="thin"/>
      <right style="thin"/>
      <top>
        <color indexed="63"/>
      </top>
      <bottom style="thin"/>
    </border>
    <border>
      <left style="double"/>
      <right>
        <color indexed="63"/>
      </right>
      <top style="thin"/>
      <bottom style="hair"/>
    </border>
    <border>
      <left style="thin"/>
      <right style="thin"/>
      <top style="thin"/>
      <bottom style="hair"/>
    </border>
    <border>
      <left>
        <color indexed="63"/>
      </left>
      <right style="hair"/>
      <top style="thin"/>
      <bottom style="hair"/>
    </border>
    <border>
      <left>
        <color indexed="63"/>
      </left>
      <right>
        <color indexed="63"/>
      </right>
      <top style="thin"/>
      <bottom style="hair"/>
    </border>
    <border>
      <left>
        <color indexed="63"/>
      </left>
      <right style="double"/>
      <top style="thin"/>
      <bottom style="hair"/>
    </border>
    <border>
      <left style="double"/>
      <right>
        <color indexed="63"/>
      </right>
      <top style="hair"/>
      <bottom>
        <color indexed="63"/>
      </bottom>
    </border>
    <border>
      <left style="thin"/>
      <right style="thin"/>
      <top style="hair"/>
      <bottom>
        <color indexed="63"/>
      </bottom>
    </border>
    <border>
      <left>
        <color indexed="63"/>
      </left>
      <right>
        <color indexed="63"/>
      </right>
      <top style="hair"/>
      <bottom>
        <color indexed="63"/>
      </bottom>
    </border>
    <border>
      <left style="hair"/>
      <right style="hair"/>
      <top/>
      <bottom style="hair"/>
    </border>
    <border>
      <left style="hair"/>
      <right style="double"/>
      <top style="hair"/>
      <bottom>
        <color indexed="63"/>
      </bottom>
    </border>
    <border>
      <left>
        <color indexed="63"/>
      </left>
      <right style="double"/>
      <top style="thin"/>
      <bottom style="thin"/>
    </border>
    <border>
      <left style="hair"/>
      <right style="double"/>
      <top style="hair"/>
      <bottom style="hair"/>
    </border>
    <border>
      <left style="double"/>
      <right>
        <color indexed="63"/>
      </right>
      <top>
        <color indexed="63"/>
      </top>
      <bottom style="hair"/>
    </border>
    <border>
      <left style="thin"/>
      <right style="thin"/>
      <top>
        <color indexed="63"/>
      </top>
      <bottom style="hair"/>
    </border>
    <border>
      <left>
        <color indexed="63"/>
      </left>
      <right>
        <color indexed="63"/>
      </right>
      <top>
        <color indexed="63"/>
      </top>
      <bottom style="hair"/>
    </border>
    <border>
      <left>
        <color indexed="63"/>
      </left>
      <right>
        <color indexed="63"/>
      </right>
      <top style="hair"/>
      <bottom style="hair"/>
    </border>
    <border>
      <left style="double"/>
      <right>
        <color indexed="63"/>
      </right>
      <top style="hair"/>
      <bottom style="hair"/>
    </border>
    <border>
      <left style="thin"/>
      <right style="thin"/>
      <top style="hair"/>
      <bottom style="hair"/>
    </border>
    <border>
      <left style="double"/>
      <right>
        <color indexed="63"/>
      </right>
      <top style="hair"/>
      <bottom style="thin"/>
    </border>
    <border>
      <left style="thin"/>
      <right style="thin"/>
      <top style="hair"/>
      <bottom style="thin"/>
    </border>
    <border>
      <left>
        <color indexed="63"/>
      </left>
      <right>
        <color indexed="63"/>
      </right>
      <top style="hair"/>
      <bottom style="thin"/>
    </border>
    <border>
      <left style="hair"/>
      <right style="double"/>
      <top style="thin"/>
      <bottom style="thin"/>
    </border>
    <border>
      <left style="thin"/>
      <right>
        <color indexed="63"/>
      </right>
      <top style="hair"/>
      <bottom>
        <color indexed="63"/>
      </bottom>
    </border>
    <border>
      <left style="thin"/>
      <right>
        <color indexed="63"/>
      </right>
      <top style="hair"/>
      <bottom style="thin"/>
    </border>
    <border>
      <left style="thin"/>
      <right>
        <color indexed="63"/>
      </right>
      <top style="thin"/>
      <bottom style="hair"/>
    </border>
    <border>
      <left style="hair"/>
      <right>
        <color indexed="63"/>
      </right>
      <top>
        <color indexed="63"/>
      </top>
      <bottom style="hair"/>
    </border>
    <border>
      <left style="hair"/>
      <right>
        <color indexed="63"/>
      </right>
      <top style="hair"/>
      <bottom>
        <color indexed="63"/>
      </bottom>
    </border>
    <border>
      <left>
        <color indexed="63"/>
      </left>
      <right style="thin"/>
      <top style="hair"/>
      <bottom style="hair"/>
    </border>
    <border>
      <left style="hair"/>
      <right>
        <color indexed="63"/>
      </right>
      <top style="thin"/>
      <bottom style="thin"/>
    </border>
    <border>
      <left/>
      <right style="hair"/>
      <top style="hair"/>
      <bottom style="thin"/>
    </border>
    <border>
      <left style="hair"/>
      <right/>
      <top style="hair"/>
      <bottom style="thin"/>
    </border>
    <border>
      <left/>
      <right style="hair"/>
      <top style="thin"/>
      <bottom style="thin"/>
    </border>
    <border>
      <left style="hair"/>
      <right/>
      <top style="thin"/>
      <bottom style="thin"/>
    </border>
    <border diagonalUp="1" diagonalDown="1">
      <left/>
      <right style="thin"/>
      <top style="thin"/>
      <bottom style="thin"/>
      <diagonal style="thin"/>
    </border>
    <border>
      <left style="thin"/>
      <right style="hair"/>
      <top/>
      <bottom style="hair"/>
    </border>
    <border>
      <left style="hair"/>
      <right style="thin"/>
      <top/>
      <bottom style="hair"/>
    </border>
    <border>
      <left/>
      <right style="hair"/>
      <top/>
      <bottom style="hair"/>
    </border>
    <border>
      <left style="hair"/>
      <right/>
      <top/>
      <bottom style="hair"/>
    </border>
    <border>
      <left/>
      <right style="thin"/>
      <top/>
      <bottom style="hair"/>
    </border>
    <border>
      <left/>
      <right style="hair"/>
      <top style="hair"/>
      <bottom style="hair"/>
    </border>
    <border>
      <left style="hair"/>
      <right/>
      <top style="hair"/>
      <bottom style="hair"/>
    </border>
    <border>
      <left/>
      <right style="thin"/>
      <top style="hair"/>
      <bottom style="hair"/>
    </border>
    <border>
      <left style="thin"/>
      <right style="hair"/>
      <top style="hair"/>
      <bottom/>
    </border>
    <border>
      <left style="hair"/>
      <right style="hair"/>
      <top style="hair"/>
      <bottom/>
    </border>
    <border>
      <left style="hair"/>
      <right style="thin"/>
      <top style="hair"/>
      <bottom/>
    </border>
    <border>
      <left/>
      <right style="hair"/>
      <top style="hair"/>
      <bottom/>
    </border>
    <border>
      <left style="hair"/>
      <right/>
      <top style="hair"/>
      <bottom/>
    </border>
    <border>
      <left/>
      <right style="thin"/>
      <top style="hair"/>
      <bottom/>
    </border>
    <border>
      <left/>
      <right style="thin"/>
      <top style="thin"/>
      <bottom style="thin"/>
    </border>
    <border>
      <left/>
      <right style="hair"/>
      <top>
        <color indexed="63"/>
      </top>
      <bottom>
        <color indexed="63"/>
      </bottom>
    </border>
    <border>
      <left style="hair"/>
      <right/>
      <top>
        <color indexed="63"/>
      </top>
      <bottom>
        <color indexed="63"/>
      </bottom>
    </border>
    <border>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hair"/>
    </border>
    <border>
      <left>
        <color indexed="63"/>
      </left>
      <right style="thin"/>
      <top style="hair"/>
      <bottom>
        <color indexed="63"/>
      </bottom>
    </border>
    <border>
      <left style="hair"/>
      <right>
        <color indexed="63"/>
      </right>
      <top>
        <color indexed="63"/>
      </top>
      <bottom>
        <color indexed="63"/>
      </bottom>
    </border>
    <border>
      <left style="hair"/>
      <right>
        <color indexed="63"/>
      </right>
      <top style="thin"/>
      <bottom style="hair"/>
    </border>
    <border>
      <left style="hair"/>
      <right>
        <color indexed="63"/>
      </right>
      <top style="hair"/>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thin"/>
      <bottom>
        <color indexed="63"/>
      </bottom>
    </border>
    <border>
      <left/>
      <right style="hair"/>
      <top style="thin"/>
      <bottom style="hair"/>
    </border>
    <border>
      <left style="hair"/>
      <right/>
      <top style="thin"/>
      <bottom style="hair"/>
    </border>
    <border>
      <left/>
      <right style="thin"/>
      <top style="thin"/>
      <bottom style="hair"/>
    </border>
    <border>
      <left/>
      <right style="thin"/>
      <top style="hair"/>
      <bottom style="thin"/>
    </border>
    <border>
      <left>
        <color indexed="63"/>
      </left>
      <right style="thin"/>
      <top style="hair"/>
      <bottom style="thin"/>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2" fillId="7"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9" fillId="0" borderId="0" applyFont="0" applyFill="0" applyBorder="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0" borderId="6" applyNumberFormat="0" applyFill="0" applyAlignment="0" applyProtection="0"/>
    <xf numFmtId="0" fontId="0" fillId="17" borderId="7" applyNumberFormat="0" applyFon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50" fillId="4" borderId="0" applyNumberFormat="0" applyBorder="0" applyAlignment="0" applyProtection="0"/>
    <xf numFmtId="0" fontId="51" fillId="22" borderId="8" applyNumberFormat="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0" borderId="0">
      <alignment/>
      <protection/>
    </xf>
    <xf numFmtId="0" fontId="8" fillId="0" borderId="0">
      <alignment/>
      <protection/>
    </xf>
    <xf numFmtId="0" fontId="19" fillId="0" borderId="0">
      <alignment/>
      <protection/>
    </xf>
    <xf numFmtId="0" fontId="3" fillId="0" borderId="0">
      <alignment/>
      <protection/>
    </xf>
    <xf numFmtId="0" fontId="8" fillId="0" borderId="0">
      <alignment/>
      <protection/>
    </xf>
    <xf numFmtId="0" fontId="8" fillId="0" borderId="0">
      <alignment/>
      <protection/>
    </xf>
    <xf numFmtId="0" fontId="0" fillId="0" borderId="0">
      <alignment/>
      <protection/>
    </xf>
    <xf numFmtId="0" fontId="19" fillId="0" borderId="0">
      <alignment/>
      <protection/>
    </xf>
    <xf numFmtId="0" fontId="8" fillId="0" borderId="0">
      <alignment/>
      <protection/>
    </xf>
    <xf numFmtId="0" fontId="3" fillId="0" borderId="0">
      <alignment/>
      <protection/>
    </xf>
    <xf numFmtId="0" fontId="3" fillId="0" borderId="0">
      <alignment/>
      <protection/>
    </xf>
    <xf numFmtId="0" fontId="19" fillId="0" borderId="0">
      <alignment/>
      <protection/>
    </xf>
    <xf numFmtId="0" fontId="3" fillId="0" borderId="0">
      <alignment/>
      <protection/>
    </xf>
    <xf numFmtId="0" fontId="8"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0" fillId="0" borderId="0">
      <alignment/>
      <protection/>
    </xf>
    <xf numFmtId="0" fontId="5" fillId="0" borderId="0">
      <alignment/>
      <protection/>
    </xf>
    <xf numFmtId="0" fontId="8" fillId="0" borderId="0">
      <alignment/>
      <protection/>
    </xf>
    <xf numFmtId="0" fontId="3" fillId="0" borderId="0">
      <alignment/>
      <protection/>
    </xf>
    <xf numFmtId="0" fontId="0" fillId="0" borderId="0">
      <alignment/>
      <protection/>
    </xf>
    <xf numFmtId="0" fontId="3" fillId="0" borderId="0">
      <alignment/>
      <protection/>
    </xf>
    <xf numFmtId="0" fontId="54" fillId="0" borderId="0">
      <alignment/>
      <protection/>
    </xf>
    <xf numFmtId="0" fontId="0" fillId="0" borderId="0">
      <alignment/>
      <protection/>
    </xf>
    <xf numFmtId="0" fontId="5" fillId="0" borderId="0">
      <alignment/>
      <protection/>
    </xf>
    <xf numFmtId="0" fontId="8" fillId="0" borderId="0">
      <alignment/>
      <protection/>
    </xf>
    <xf numFmtId="0" fontId="0" fillId="0" borderId="0">
      <alignment/>
      <protection/>
    </xf>
    <xf numFmtId="0" fontId="3" fillId="0" borderId="0">
      <alignment/>
      <protection/>
    </xf>
    <xf numFmtId="0" fontId="3" fillId="0" borderId="0">
      <alignment/>
      <protection/>
    </xf>
    <xf numFmtId="0" fontId="5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 borderId="0" applyNumberFormat="0" applyBorder="0" applyAlignment="0" applyProtection="0"/>
    <xf numFmtId="0" fontId="57" fillId="23" borderId="0" applyNumberFormat="0" applyBorder="0" applyAlignment="0" applyProtection="0"/>
    <xf numFmtId="0" fontId="58" fillId="22" borderId="1" applyNumberFormat="0" applyAlignment="0" applyProtection="0"/>
    <xf numFmtId="9" fontId="0" fillId="0" borderId="0" applyFont="0" applyFill="0" applyBorder="0" applyAlignment="0" applyProtection="0"/>
  </cellStyleXfs>
  <cellXfs count="1942">
    <xf numFmtId="0" fontId="0" fillId="0" borderId="0" xfId="0" applyAlignment="1">
      <alignment/>
    </xf>
    <xf numFmtId="164" fontId="18" fillId="0" borderId="0" xfId="62" applyNumberFormat="1" applyFont="1" applyAlignment="1">
      <alignment horizontal="center" vertical="center" wrapText="1"/>
      <protection/>
    </xf>
    <xf numFmtId="164" fontId="5" fillId="0" borderId="10" xfId="60" applyNumberFormat="1" applyFont="1" applyFill="1" applyBorder="1" applyAlignment="1">
      <alignment vertical="center"/>
      <protection/>
    </xf>
    <xf numFmtId="164" fontId="11" fillId="0" borderId="10" xfId="60" applyNumberFormat="1" applyFont="1" applyFill="1" applyBorder="1" applyAlignment="1">
      <alignment vertical="center"/>
      <protection/>
    </xf>
    <xf numFmtId="164" fontId="3" fillId="0" borderId="0" xfId="62" applyNumberFormat="1" applyFont="1" applyAlignment="1">
      <alignment horizontal="center" vertical="center" wrapText="1"/>
      <protection/>
    </xf>
    <xf numFmtId="164" fontId="3" fillId="0" borderId="0" xfId="62" applyNumberFormat="1" applyFont="1" applyAlignment="1">
      <alignment vertical="center" wrapText="1"/>
      <protection/>
    </xf>
    <xf numFmtId="164" fontId="18" fillId="0" borderId="0" xfId="62" applyNumberFormat="1" applyFont="1" applyFill="1" applyAlignment="1">
      <alignment horizontal="center" vertical="center" wrapText="1"/>
      <protection/>
    </xf>
    <xf numFmtId="164" fontId="3" fillId="0" borderId="0" xfId="62" applyNumberFormat="1" applyFont="1" applyFill="1" applyAlignment="1">
      <alignment vertical="center" wrapText="1"/>
      <protection/>
    </xf>
    <xf numFmtId="164" fontId="3" fillId="0" borderId="0" xfId="62" applyNumberFormat="1" applyFont="1" applyFill="1" applyBorder="1" applyAlignment="1">
      <alignment vertical="center" wrapText="1"/>
      <protection/>
    </xf>
    <xf numFmtId="3" fontId="11" fillId="0" borderId="0" xfId="62" applyNumberFormat="1" applyFont="1" applyAlignment="1">
      <alignment horizontal="center" vertical="center"/>
      <protection/>
    </xf>
    <xf numFmtId="3" fontId="11" fillId="0" borderId="0" xfId="62" applyNumberFormat="1" applyFont="1" applyAlignment="1">
      <alignment vertical="center"/>
      <protection/>
    </xf>
    <xf numFmtId="3" fontId="11" fillId="0" borderId="0" xfId="62" applyNumberFormat="1" applyFont="1" applyAlignment="1">
      <alignment horizontal="right" vertical="center"/>
      <protection/>
    </xf>
    <xf numFmtId="3" fontId="9" fillId="0" borderId="0" xfId="62" applyNumberFormat="1" applyFont="1" applyAlignment="1">
      <alignment horizontal="centerContinuous" vertical="center"/>
      <protection/>
    </xf>
    <xf numFmtId="0" fontId="11" fillId="0" borderId="0" xfId="62" applyNumberFormat="1" applyFont="1" applyAlignment="1">
      <alignment vertical="center"/>
      <protection/>
    </xf>
    <xf numFmtId="164" fontId="4" fillId="0" borderId="11" xfId="60" applyNumberFormat="1" applyFont="1" applyFill="1" applyBorder="1" applyAlignment="1">
      <alignment vertical="center"/>
      <protection/>
    </xf>
    <xf numFmtId="3" fontId="11" fillId="0" borderId="0" xfId="60" applyNumberFormat="1" applyFont="1" applyFill="1" applyBorder="1" applyAlignment="1">
      <alignment vertical="center"/>
      <protection/>
    </xf>
    <xf numFmtId="3" fontId="11" fillId="0" borderId="0" xfId="60" applyNumberFormat="1" applyFont="1" applyFill="1" applyAlignment="1">
      <alignment vertical="center"/>
      <protection/>
    </xf>
    <xf numFmtId="3" fontId="9" fillId="0" borderId="0" xfId="60" applyNumberFormat="1" applyFont="1" applyFill="1" applyBorder="1" applyAlignment="1">
      <alignment vertical="center"/>
      <protection/>
    </xf>
    <xf numFmtId="3" fontId="11" fillId="0" borderId="0" xfId="60" applyNumberFormat="1" applyFont="1" applyFill="1" applyAlignment="1">
      <alignment horizontal="right" vertical="center"/>
      <protection/>
    </xf>
    <xf numFmtId="0" fontId="25" fillId="0" borderId="0" xfId="0" applyFont="1" applyFill="1" applyBorder="1" applyAlignment="1">
      <alignment/>
    </xf>
    <xf numFmtId="0" fontId="25" fillId="0" borderId="0" xfId="0" applyFont="1" applyFill="1" applyAlignment="1">
      <alignment/>
    </xf>
    <xf numFmtId="3" fontId="11" fillId="0" borderId="0" xfId="0" applyNumberFormat="1" applyFont="1" applyFill="1" applyBorder="1" applyAlignment="1">
      <alignment/>
    </xf>
    <xf numFmtId="3" fontId="11" fillId="0" borderId="0" xfId="0" applyNumberFormat="1" applyFont="1" applyFill="1" applyAlignment="1">
      <alignment/>
    </xf>
    <xf numFmtId="167" fontId="9" fillId="0" borderId="0" xfId="60" applyNumberFormat="1" applyFont="1" applyFill="1" applyBorder="1" applyAlignment="1">
      <alignment horizontal="right" vertical="center" shrinkToFit="1"/>
      <protection/>
    </xf>
    <xf numFmtId="0" fontId="27" fillId="0" borderId="0" xfId="0" applyFont="1" applyFill="1" applyBorder="1" applyAlignment="1">
      <alignment/>
    </xf>
    <xf numFmtId="3" fontId="25" fillId="0" borderId="0" xfId="0" applyNumberFormat="1" applyFont="1" applyFill="1" applyAlignment="1">
      <alignment/>
    </xf>
    <xf numFmtId="164" fontId="24" fillId="0" borderId="0" xfId="62" applyNumberFormat="1" applyFont="1" applyAlignment="1">
      <alignment horizontal="center" vertical="center" wrapText="1"/>
      <protection/>
    </xf>
    <xf numFmtId="164" fontId="24" fillId="0" borderId="0" xfId="62" applyNumberFormat="1" applyFont="1" applyAlignment="1">
      <alignment vertical="center" wrapText="1"/>
      <protection/>
    </xf>
    <xf numFmtId="164" fontId="20" fillId="0" borderId="0" xfId="62" applyNumberFormat="1" applyFont="1" applyAlignment="1">
      <alignment vertical="center"/>
      <protection/>
    </xf>
    <xf numFmtId="164" fontId="20" fillId="0" borderId="0" xfId="62" applyNumberFormat="1" applyFont="1" applyAlignment="1">
      <alignment horizontal="center" vertical="center"/>
      <protection/>
    </xf>
    <xf numFmtId="164" fontId="24" fillId="24" borderId="10" xfId="62" applyNumberFormat="1" applyFont="1" applyFill="1" applyBorder="1" applyAlignment="1" applyProtection="1">
      <alignment horizontal="right" vertical="center" wrapText="1"/>
      <protection/>
    </xf>
    <xf numFmtId="164" fontId="20" fillId="0" borderId="0" xfId="62" applyNumberFormat="1" applyFont="1" applyAlignment="1">
      <alignment vertical="center" wrapText="1"/>
      <protection/>
    </xf>
    <xf numFmtId="164" fontId="24" fillId="24" borderId="10" xfId="62" applyNumberFormat="1" applyFont="1" applyFill="1" applyBorder="1" applyAlignment="1" applyProtection="1">
      <alignment horizontal="center" vertical="center" wrapText="1"/>
      <protection/>
    </xf>
    <xf numFmtId="3" fontId="3" fillId="0" borderId="0" xfId="62" applyNumberFormat="1" applyFont="1" applyAlignment="1">
      <alignment vertical="center"/>
      <protection/>
    </xf>
    <xf numFmtId="3" fontId="18" fillId="0" borderId="0" xfId="62" applyNumberFormat="1" applyFont="1" applyAlignment="1">
      <alignment vertical="center"/>
      <protection/>
    </xf>
    <xf numFmtId="3" fontId="3" fillId="0" borderId="0" xfId="62" applyNumberFormat="1" applyFont="1" applyBorder="1" applyAlignment="1">
      <alignment vertical="center"/>
      <protection/>
    </xf>
    <xf numFmtId="3" fontId="23" fillId="0" borderId="0" xfId="60" applyNumberFormat="1" applyFont="1" applyFill="1" applyBorder="1" applyAlignment="1">
      <alignment vertical="center"/>
      <protection/>
    </xf>
    <xf numFmtId="3" fontId="18" fillId="0" borderId="0" xfId="62" applyNumberFormat="1" applyFont="1" applyBorder="1" applyAlignment="1">
      <alignment vertical="center"/>
      <protection/>
    </xf>
    <xf numFmtId="3" fontId="3" fillId="0" borderId="0" xfId="62" applyNumberFormat="1" applyFont="1" applyBorder="1" applyAlignment="1">
      <alignment vertical="center"/>
      <protection/>
    </xf>
    <xf numFmtId="3" fontId="29" fillId="0" borderId="0" xfId="62" applyNumberFormat="1" applyFont="1" applyBorder="1" applyAlignment="1">
      <alignment vertical="center"/>
      <protection/>
    </xf>
    <xf numFmtId="3" fontId="3" fillId="0" borderId="0" xfId="62" applyNumberFormat="1" applyFont="1" applyBorder="1" applyAlignment="1">
      <alignment vertical="center" wrapText="1"/>
      <protection/>
    </xf>
    <xf numFmtId="3" fontId="18" fillId="0" borderId="0" xfId="62" applyNumberFormat="1" applyFont="1" applyBorder="1" applyAlignment="1">
      <alignment vertical="center"/>
      <protection/>
    </xf>
    <xf numFmtId="3" fontId="19" fillId="0" borderId="0" xfId="60" applyNumberFormat="1" applyFont="1" applyFill="1" applyBorder="1" applyAlignment="1">
      <alignment vertical="center"/>
      <protection/>
    </xf>
    <xf numFmtId="3" fontId="11" fillId="0" borderId="10" xfId="0" applyNumberFormat="1" applyFont="1" applyFill="1" applyBorder="1" applyAlignment="1">
      <alignment/>
    </xf>
    <xf numFmtId="164" fontId="9" fillId="0" borderId="0" xfId="84" applyNumberFormat="1" applyFont="1" applyAlignment="1">
      <alignment horizontal="center" vertical="center" wrapText="1"/>
      <protection/>
    </xf>
    <xf numFmtId="3" fontId="17" fillId="0" borderId="0" xfId="75" applyNumberFormat="1" applyFont="1" applyFill="1" applyAlignment="1">
      <alignment vertical="center"/>
      <protection/>
    </xf>
    <xf numFmtId="4" fontId="17" fillId="0" borderId="0" xfId="75" applyNumberFormat="1" applyFont="1" applyFill="1" applyAlignment="1">
      <alignment vertical="center"/>
      <protection/>
    </xf>
    <xf numFmtId="3" fontId="17" fillId="0" borderId="0" xfId="75" applyNumberFormat="1" applyFont="1" applyFill="1" applyAlignment="1">
      <alignment horizontal="right" vertical="center"/>
      <protection/>
    </xf>
    <xf numFmtId="164" fontId="5" fillId="0" borderId="12" xfId="80" applyNumberFormat="1" applyFont="1" applyFill="1" applyBorder="1" applyAlignment="1">
      <alignment horizontal="left" vertical="center"/>
      <protection/>
    </xf>
    <xf numFmtId="164" fontId="9" fillId="0" borderId="10" xfId="84" applyNumberFormat="1" applyFont="1" applyBorder="1" applyAlignment="1">
      <alignment horizontal="center" vertical="center" wrapText="1"/>
      <protection/>
    </xf>
    <xf numFmtId="164" fontId="9" fillId="0" borderId="13" xfId="84" applyNumberFormat="1" applyFont="1" applyBorder="1" applyAlignment="1">
      <alignment vertical="center"/>
      <protection/>
    </xf>
    <xf numFmtId="164" fontId="9" fillId="0" borderId="0" xfId="84" applyNumberFormat="1" applyFont="1" applyAlignment="1">
      <alignment vertical="center"/>
      <protection/>
    </xf>
    <xf numFmtId="164" fontId="11" fillId="0" borderId="0" xfId="84" applyNumberFormat="1" applyFont="1" applyAlignment="1">
      <alignment vertical="center"/>
      <protection/>
    </xf>
    <xf numFmtId="164" fontId="9" fillId="0" borderId="0" xfId="84" applyNumberFormat="1" applyFont="1" applyAlignment="1">
      <alignment horizontal="center" vertical="center"/>
      <protection/>
    </xf>
    <xf numFmtId="164" fontId="11" fillId="0" borderId="12" xfId="84" applyNumberFormat="1" applyFont="1" applyBorder="1" applyAlignment="1">
      <alignment vertical="center"/>
      <protection/>
    </xf>
    <xf numFmtId="164" fontId="11" fillId="0" borderId="10" xfId="84" applyNumberFormat="1" applyFont="1" applyBorder="1" applyAlignment="1">
      <alignment vertical="center" wrapText="1"/>
      <protection/>
    </xf>
    <xf numFmtId="166" fontId="11" fillId="0" borderId="10" xfId="84" applyNumberFormat="1" applyFont="1" applyBorder="1" applyAlignment="1">
      <alignment horizontal="right" vertical="center" wrapText="1"/>
      <protection/>
    </xf>
    <xf numFmtId="164" fontId="11" fillId="0" borderId="10" xfId="84" applyNumberFormat="1" applyFont="1" applyBorder="1" applyAlignment="1">
      <alignment vertical="center"/>
      <protection/>
    </xf>
    <xf numFmtId="166" fontId="11" fillId="0" borderId="10" xfId="84" applyNumberFormat="1" applyFont="1" applyBorder="1" applyAlignment="1">
      <alignment vertical="center"/>
      <protection/>
    </xf>
    <xf numFmtId="164" fontId="11" fillId="0" borderId="14" xfId="84" applyNumberFormat="1" applyFont="1" applyBorder="1" applyAlignment="1">
      <alignment vertical="center"/>
      <protection/>
    </xf>
    <xf numFmtId="164" fontId="24" fillId="0" borderId="12" xfId="84" applyNumberFormat="1" applyFont="1" applyFill="1" applyBorder="1" applyAlignment="1">
      <alignment horizontal="left" vertical="center"/>
      <protection/>
    </xf>
    <xf numFmtId="164" fontId="24" fillId="0" borderId="12" xfId="80" applyNumberFormat="1" applyFont="1" applyFill="1" applyBorder="1" applyAlignment="1">
      <alignment horizontal="left" vertical="center"/>
      <protection/>
    </xf>
    <xf numFmtId="164" fontId="11" fillId="0" borderId="12" xfId="84" applyNumberFormat="1" applyFont="1" applyBorder="1" applyAlignment="1">
      <alignment vertical="center" wrapText="1"/>
      <protection/>
    </xf>
    <xf numFmtId="164" fontId="11" fillId="0" borderId="11" xfId="84" applyNumberFormat="1" applyFont="1" applyBorder="1" applyAlignment="1">
      <alignment vertical="center" wrapText="1"/>
      <protection/>
    </xf>
    <xf numFmtId="164" fontId="9" fillId="0" borderId="11" xfId="84" applyNumberFormat="1" applyFont="1" applyBorder="1" applyAlignment="1">
      <alignment horizontal="center" vertical="center" wrapText="1"/>
      <protection/>
    </xf>
    <xf numFmtId="166" fontId="11" fillId="0" borderId="11" xfId="84" applyNumberFormat="1" applyFont="1" applyBorder="1" applyAlignment="1">
      <alignment horizontal="right" vertical="center" wrapText="1"/>
      <protection/>
    </xf>
    <xf numFmtId="164" fontId="11" fillId="0" borderId="11" xfId="84" applyNumberFormat="1" applyFont="1" applyBorder="1" applyAlignment="1">
      <alignment vertical="center"/>
      <protection/>
    </xf>
    <xf numFmtId="164" fontId="11" fillId="0" borderId="15" xfId="84" applyNumberFormat="1" applyFont="1" applyBorder="1" applyAlignment="1">
      <alignment vertical="center"/>
      <protection/>
    </xf>
    <xf numFmtId="164" fontId="9" fillId="0" borderId="16" xfId="84" applyNumberFormat="1" applyFont="1" applyBorder="1" applyAlignment="1">
      <alignment horizontal="center" vertical="center" wrapText="1"/>
      <protection/>
    </xf>
    <xf numFmtId="164" fontId="11" fillId="0" borderId="16" xfId="84" applyNumberFormat="1" applyFont="1" applyBorder="1" applyAlignment="1">
      <alignment vertical="center"/>
      <protection/>
    </xf>
    <xf numFmtId="164" fontId="11" fillId="0" borderId="10" xfId="84" applyNumberFormat="1" applyFont="1" applyBorder="1" applyAlignment="1">
      <alignment horizontal="right" vertical="center" wrapText="1"/>
      <protection/>
    </xf>
    <xf numFmtId="164" fontId="9" fillId="0" borderId="16" xfId="84" applyNumberFormat="1" applyFont="1" applyBorder="1" applyAlignment="1">
      <alignment horizontal="right" vertical="center" wrapText="1"/>
      <protection/>
    </xf>
    <xf numFmtId="164" fontId="9" fillId="0" borderId="0" xfId="84" applyNumberFormat="1" applyFont="1" applyBorder="1" applyAlignment="1">
      <alignment vertical="center" wrapText="1"/>
      <protection/>
    </xf>
    <xf numFmtId="164" fontId="9" fillId="0" borderId="0" xfId="84" applyNumberFormat="1" applyFont="1" applyBorder="1" applyAlignment="1">
      <alignment horizontal="center" vertical="center" wrapText="1"/>
      <protection/>
    </xf>
    <xf numFmtId="164" fontId="11" fillId="0" borderId="0" xfId="84" applyNumberFormat="1" applyFont="1" applyBorder="1" applyAlignment="1">
      <alignment vertical="center" wrapText="1"/>
      <protection/>
    </xf>
    <xf numFmtId="164" fontId="11" fillId="0" borderId="0" xfId="84" applyNumberFormat="1" applyFont="1" applyBorder="1" applyAlignment="1">
      <alignment vertical="center"/>
      <protection/>
    </xf>
    <xf numFmtId="164" fontId="11" fillId="0" borderId="0" xfId="84" applyNumberFormat="1" applyFont="1" applyAlignment="1">
      <alignment vertical="center" wrapText="1"/>
      <protection/>
    </xf>
    <xf numFmtId="164" fontId="9" fillId="0" borderId="16" xfId="84" applyNumberFormat="1" applyFont="1" applyBorder="1" applyAlignment="1">
      <alignment vertical="center" wrapText="1"/>
      <protection/>
    </xf>
    <xf numFmtId="164" fontId="9" fillId="0" borderId="16" xfId="84" applyNumberFormat="1" applyFont="1" applyBorder="1" applyAlignment="1">
      <alignment vertical="center"/>
      <protection/>
    </xf>
    <xf numFmtId="164" fontId="9" fillId="0" borderId="17" xfId="84" applyNumberFormat="1" applyFont="1" applyBorder="1" applyAlignment="1">
      <alignment vertical="center" wrapText="1"/>
      <protection/>
    </xf>
    <xf numFmtId="3" fontId="17" fillId="0" borderId="0" xfId="75" applyNumberFormat="1" applyFont="1" applyFill="1" applyAlignment="1">
      <alignment vertical="center"/>
      <protection/>
    </xf>
    <xf numFmtId="164" fontId="17" fillId="0" borderId="0" xfId="75" applyNumberFormat="1" applyFont="1" applyFill="1" applyAlignment="1">
      <alignment vertical="center"/>
      <protection/>
    </xf>
    <xf numFmtId="164" fontId="16" fillId="0" borderId="0" xfId="75" applyNumberFormat="1" applyFont="1" applyFill="1" applyAlignment="1">
      <alignment horizontal="centerContinuous" vertical="center"/>
      <protection/>
    </xf>
    <xf numFmtId="164" fontId="16" fillId="0" borderId="0" xfId="75" applyNumberFormat="1" applyFont="1" applyFill="1" applyAlignment="1">
      <alignment horizontal="centerContinuous" vertical="center"/>
      <protection/>
    </xf>
    <xf numFmtId="164" fontId="16" fillId="0" borderId="18" xfId="75" applyNumberFormat="1" applyFont="1" applyFill="1" applyBorder="1" applyAlignment="1">
      <alignment vertical="center"/>
      <protection/>
    </xf>
    <xf numFmtId="164" fontId="16" fillId="0" borderId="18" xfId="75" applyNumberFormat="1" applyFont="1" applyFill="1" applyBorder="1" applyAlignment="1">
      <alignment vertical="center"/>
      <protection/>
    </xf>
    <xf numFmtId="164" fontId="16" fillId="0" borderId="18" xfId="72" applyNumberFormat="1" applyFont="1" applyFill="1" applyBorder="1" applyAlignment="1" applyProtection="1">
      <alignment vertical="center"/>
      <protection/>
    </xf>
    <xf numFmtId="164" fontId="17" fillId="0" borderId="18" xfId="72" applyNumberFormat="1" applyFont="1" applyFill="1" applyBorder="1" applyAlignment="1" applyProtection="1">
      <alignment vertical="center"/>
      <protection/>
    </xf>
    <xf numFmtId="164" fontId="17" fillId="0" borderId="18" xfId="75" applyNumberFormat="1" applyFont="1" applyFill="1" applyBorder="1" applyAlignment="1">
      <alignment vertical="center"/>
      <protection/>
    </xf>
    <xf numFmtId="164" fontId="16" fillId="0" borderId="18" xfId="72" applyNumberFormat="1" applyFont="1" applyFill="1" applyBorder="1" applyAlignment="1" applyProtection="1">
      <alignment vertical="center"/>
      <protection/>
    </xf>
    <xf numFmtId="164" fontId="15" fillId="0" borderId="18" xfId="75" applyNumberFormat="1" applyFont="1" applyFill="1" applyBorder="1" applyAlignment="1">
      <alignment vertical="center"/>
      <protection/>
    </xf>
    <xf numFmtId="164" fontId="12" fillId="0" borderId="19" xfId="75" applyNumberFormat="1" applyFont="1" applyFill="1" applyBorder="1" applyAlignment="1">
      <alignment vertical="center"/>
      <protection/>
    </xf>
    <xf numFmtId="164" fontId="17" fillId="0" borderId="19" xfId="75" applyNumberFormat="1" applyFont="1" applyFill="1" applyBorder="1" applyAlignment="1">
      <alignment vertical="center"/>
      <protection/>
    </xf>
    <xf numFmtId="164" fontId="16" fillId="0" borderId="19" xfId="75" applyNumberFormat="1" applyFont="1" applyFill="1" applyBorder="1" applyAlignment="1">
      <alignment vertical="center"/>
      <protection/>
    </xf>
    <xf numFmtId="164" fontId="21" fillId="0" borderId="0" xfId="75" applyNumberFormat="1" applyFont="1" applyFill="1" applyBorder="1" applyAlignment="1">
      <alignment vertical="center"/>
      <protection/>
    </xf>
    <xf numFmtId="164" fontId="14" fillId="0" borderId="0" xfId="75" applyNumberFormat="1" applyFont="1" applyFill="1" applyBorder="1" applyAlignment="1">
      <alignment vertical="center"/>
      <protection/>
    </xf>
    <xf numFmtId="164" fontId="17" fillId="0" borderId="0" xfId="75" applyNumberFormat="1" applyFont="1" applyFill="1" applyBorder="1" applyAlignment="1">
      <alignment vertical="center"/>
      <protection/>
    </xf>
    <xf numFmtId="164" fontId="16" fillId="0" borderId="0" xfId="75" applyNumberFormat="1" applyFont="1" applyFill="1" applyBorder="1" applyAlignment="1">
      <alignment vertical="center"/>
      <protection/>
    </xf>
    <xf numFmtId="164" fontId="17" fillId="0" borderId="0" xfId="75" applyNumberFormat="1" applyFont="1" applyFill="1" applyAlignment="1">
      <alignment horizontal="right" vertical="center"/>
      <protection/>
    </xf>
    <xf numFmtId="164" fontId="17" fillId="0" borderId="18" xfId="75" applyNumberFormat="1" applyFont="1" applyFill="1" applyBorder="1" applyAlignment="1">
      <alignment horizontal="right" vertical="center"/>
      <protection/>
    </xf>
    <xf numFmtId="164" fontId="16" fillId="0" borderId="20" xfId="75" applyNumberFormat="1" applyFont="1" applyFill="1" applyBorder="1" applyAlignment="1">
      <alignment vertical="center"/>
      <protection/>
    </xf>
    <xf numFmtId="164" fontId="15" fillId="0" borderId="20" xfId="75" applyNumberFormat="1" applyFont="1" applyFill="1" applyBorder="1" applyAlignment="1">
      <alignment vertical="center"/>
      <protection/>
    </xf>
    <xf numFmtId="164" fontId="17" fillId="0" borderId="20" xfId="75" applyNumberFormat="1" applyFont="1" applyFill="1" applyBorder="1" applyAlignment="1">
      <alignment vertical="center"/>
      <protection/>
    </xf>
    <xf numFmtId="164" fontId="17" fillId="0" borderId="0" xfId="75" applyNumberFormat="1" applyFont="1" applyFill="1" applyAlignment="1">
      <alignment vertical="center"/>
      <protection/>
    </xf>
    <xf numFmtId="164" fontId="5" fillId="0" borderId="10" xfId="0" applyNumberFormat="1" applyFont="1" applyFill="1" applyBorder="1" applyAlignment="1">
      <alignment vertical="center"/>
    </xf>
    <xf numFmtId="164" fontId="5" fillId="0" borderId="14" xfId="60" applyNumberFormat="1" applyFont="1" applyFill="1" applyBorder="1" applyAlignment="1">
      <alignment vertical="center"/>
      <protection/>
    </xf>
    <xf numFmtId="0" fontId="5" fillId="0" borderId="10" xfId="77" applyFont="1" applyFill="1" applyBorder="1" applyAlignment="1">
      <alignment vertical="center"/>
      <protection/>
    </xf>
    <xf numFmtId="164" fontId="5" fillId="0" borderId="15" xfId="60" applyNumberFormat="1" applyFont="1" applyFill="1" applyBorder="1" applyAlignment="1">
      <alignment vertical="center"/>
      <protection/>
    </xf>
    <xf numFmtId="164" fontId="5" fillId="0" borderId="21" xfId="60" applyNumberFormat="1" applyFont="1" applyFill="1" applyBorder="1" applyAlignment="1">
      <alignment vertical="center"/>
      <protection/>
    </xf>
    <xf numFmtId="0" fontId="9" fillId="0" borderId="0" xfId="62" applyFont="1" applyAlignment="1">
      <alignment horizontal="center" vertical="center"/>
      <protection/>
    </xf>
    <xf numFmtId="0" fontId="11" fillId="0" borderId="0" xfId="62" applyFont="1" applyAlignment="1">
      <alignment vertical="center"/>
      <protection/>
    </xf>
    <xf numFmtId="0" fontId="11" fillId="0" borderId="0" xfId="62" applyFont="1" applyAlignment="1">
      <alignment horizontal="right" vertical="center"/>
      <protection/>
    </xf>
    <xf numFmtId="0" fontId="9" fillId="0" borderId="0" xfId="62" applyFont="1" applyAlignment="1">
      <alignment vertical="center"/>
      <protection/>
    </xf>
    <xf numFmtId="0" fontId="9" fillId="0" borderId="17" xfId="62" applyFont="1" applyBorder="1" applyAlignment="1">
      <alignment horizontal="center" vertical="center" wrapText="1"/>
      <protection/>
    </xf>
    <xf numFmtId="0" fontId="9" fillId="0" borderId="16" xfId="62" applyFont="1" applyBorder="1" applyAlignment="1">
      <alignment horizontal="center" vertical="center" wrapText="1"/>
      <protection/>
    </xf>
    <xf numFmtId="0" fontId="9" fillId="0" borderId="13" xfId="62" applyFont="1" applyBorder="1" applyAlignment="1">
      <alignment horizontal="center" vertical="center" wrapText="1"/>
      <protection/>
    </xf>
    <xf numFmtId="0" fontId="9" fillId="0" borderId="22" xfId="62" applyFont="1" applyBorder="1" applyAlignment="1">
      <alignment horizontal="center" vertical="center"/>
      <protection/>
    </xf>
    <xf numFmtId="0" fontId="9" fillId="0" borderId="23" xfId="62" applyFont="1" applyBorder="1" applyAlignment="1">
      <alignment vertical="center"/>
      <protection/>
    </xf>
    <xf numFmtId="3" fontId="9" fillId="0" borderId="21" xfId="62" applyNumberFormat="1" applyFont="1" applyBorder="1" applyAlignment="1">
      <alignment vertical="center"/>
      <protection/>
    </xf>
    <xf numFmtId="0" fontId="9" fillId="0" borderId="12" xfId="62" applyFont="1" applyBorder="1" applyAlignment="1">
      <alignment horizontal="center" vertical="center"/>
      <protection/>
    </xf>
    <xf numFmtId="0" fontId="9" fillId="0" borderId="10" xfId="62" applyFont="1" applyBorder="1" applyAlignment="1">
      <alignment vertical="center"/>
      <protection/>
    </xf>
    <xf numFmtId="3" fontId="9" fillId="0" borderId="14" xfId="62" applyNumberFormat="1" applyFont="1" applyBorder="1" applyAlignment="1">
      <alignment vertical="center"/>
      <protection/>
    </xf>
    <xf numFmtId="0" fontId="11" fillId="0" borderId="12" xfId="62" applyFont="1" applyBorder="1" applyAlignment="1">
      <alignment horizontal="center" vertical="center"/>
      <protection/>
    </xf>
    <xf numFmtId="3" fontId="22" fillId="0" borderId="14" xfId="62" applyNumberFormat="1" applyFont="1" applyBorder="1" applyAlignment="1">
      <alignment vertical="center"/>
      <protection/>
    </xf>
    <xf numFmtId="0" fontId="11" fillId="0" borderId="24" xfId="62" applyFont="1" applyBorder="1" applyAlignment="1">
      <alignment horizontal="center" vertical="center"/>
      <protection/>
    </xf>
    <xf numFmtId="3" fontId="9" fillId="0" borderId="13" xfId="62" applyNumberFormat="1" applyFont="1" applyBorder="1" applyAlignment="1">
      <alignment vertical="center"/>
      <protection/>
    </xf>
    <xf numFmtId="3" fontId="18" fillId="0" borderId="25" xfId="62" applyNumberFormat="1" applyFont="1" applyBorder="1" applyAlignment="1">
      <alignment horizontal="center" vertical="center"/>
      <protection/>
    </xf>
    <xf numFmtId="3" fontId="18" fillId="0" borderId="25" xfId="62" applyNumberFormat="1" applyFont="1" applyFill="1" applyBorder="1" applyAlignment="1">
      <alignment horizontal="center" vertical="center"/>
      <protection/>
    </xf>
    <xf numFmtId="3" fontId="3" fillId="0" borderId="20" xfId="62" applyNumberFormat="1" applyFont="1" applyBorder="1" applyAlignment="1">
      <alignment vertical="center"/>
      <protection/>
    </xf>
    <xf numFmtId="3" fontId="18" fillId="0" borderId="20" xfId="62" applyNumberFormat="1" applyFont="1" applyBorder="1" applyAlignment="1">
      <alignment vertical="center"/>
      <protection/>
    </xf>
    <xf numFmtId="3" fontId="18" fillId="0" borderId="20" xfId="62" applyNumberFormat="1" applyFont="1" applyBorder="1" applyAlignment="1">
      <alignment vertical="center"/>
      <protection/>
    </xf>
    <xf numFmtId="3" fontId="18" fillId="0" borderId="26" xfId="62" applyNumberFormat="1" applyFont="1" applyBorder="1" applyAlignment="1">
      <alignment horizontal="center" vertical="center"/>
      <protection/>
    </xf>
    <xf numFmtId="3" fontId="18" fillId="0" borderId="27" xfId="62" applyNumberFormat="1" applyFont="1" applyBorder="1" applyAlignment="1">
      <alignment vertical="center"/>
      <protection/>
    </xf>
    <xf numFmtId="164" fontId="24" fillId="0" borderId="0" xfId="62" applyNumberFormat="1" applyFont="1" applyFill="1" applyBorder="1" applyAlignment="1">
      <alignment horizontal="center" vertical="center" wrapText="1"/>
      <protection/>
    </xf>
    <xf numFmtId="164" fontId="24" fillId="0" borderId="0" xfId="62" applyNumberFormat="1" applyFont="1" applyFill="1" applyBorder="1" applyAlignment="1">
      <alignment vertical="center" wrapText="1"/>
      <protection/>
    </xf>
    <xf numFmtId="164" fontId="24" fillId="0" borderId="0" xfId="62" applyNumberFormat="1" applyFont="1" applyFill="1" applyAlignment="1">
      <alignment vertical="center" wrapText="1"/>
      <protection/>
    </xf>
    <xf numFmtId="164" fontId="24" fillId="0" borderId="0" xfId="62" applyNumberFormat="1" applyFont="1" applyAlignment="1">
      <alignment vertical="center" wrapText="1"/>
      <protection/>
    </xf>
    <xf numFmtId="164" fontId="20" fillId="0" borderId="0" xfId="62" applyNumberFormat="1" applyFont="1" applyFill="1" applyBorder="1" applyAlignment="1">
      <alignment horizontal="center" vertical="center" wrapText="1"/>
      <protection/>
    </xf>
    <xf numFmtId="3" fontId="24" fillId="0" borderId="0" xfId="62" applyNumberFormat="1" applyFont="1" applyFill="1" applyBorder="1" applyAlignment="1">
      <alignment vertical="center" wrapText="1"/>
      <protection/>
    </xf>
    <xf numFmtId="164" fontId="20" fillId="0" borderId="0" xfId="62" applyNumberFormat="1" applyFont="1" applyFill="1" applyBorder="1" applyAlignment="1">
      <alignment horizontal="center" vertical="center" wrapText="1"/>
      <protection/>
    </xf>
    <xf numFmtId="164" fontId="24" fillId="0" borderId="0" xfId="62" applyNumberFormat="1" applyFont="1" applyAlignment="1">
      <alignment horizontal="center" vertical="center" wrapText="1"/>
      <protection/>
    </xf>
    <xf numFmtId="3" fontId="9" fillId="0" borderId="28" xfId="60" applyNumberFormat="1" applyFont="1" applyFill="1" applyBorder="1" applyAlignment="1">
      <alignment vertical="center"/>
      <protection/>
    </xf>
    <xf numFmtId="3" fontId="9" fillId="0" borderId="13" xfId="60" applyNumberFormat="1" applyFont="1" applyFill="1" applyBorder="1" applyAlignment="1">
      <alignment vertical="center"/>
      <protection/>
    </xf>
    <xf numFmtId="164" fontId="11" fillId="0" borderId="14" xfId="0" applyNumberFormat="1" applyFont="1" applyFill="1" applyBorder="1" applyAlignment="1">
      <alignment vertical="center"/>
    </xf>
    <xf numFmtId="164" fontId="11" fillId="0" borderId="15" xfId="0" applyNumberFormat="1" applyFont="1" applyFill="1" applyBorder="1" applyAlignment="1">
      <alignment vertical="center"/>
    </xf>
    <xf numFmtId="164" fontId="11" fillId="0" borderId="12" xfId="60" applyNumberFormat="1" applyFont="1" applyFill="1" applyBorder="1" applyAlignment="1">
      <alignment vertical="center"/>
      <protection/>
    </xf>
    <xf numFmtId="164" fontId="9" fillId="0" borderId="16" xfId="62" applyNumberFormat="1" applyFont="1" applyFill="1" applyBorder="1" applyAlignment="1">
      <alignment horizontal="center" vertical="center" wrapText="1"/>
      <protection/>
    </xf>
    <xf numFmtId="164" fontId="9" fillId="0" borderId="13" xfId="62" applyNumberFormat="1" applyFont="1" applyFill="1" applyBorder="1" applyAlignment="1">
      <alignment horizontal="center" vertical="center" wrapText="1"/>
      <protection/>
    </xf>
    <xf numFmtId="164" fontId="11" fillId="0" borderId="23" xfId="62" applyNumberFormat="1" applyFont="1" applyFill="1" applyBorder="1" applyAlignment="1">
      <alignment horizontal="right" vertical="center" wrapText="1"/>
      <protection/>
    </xf>
    <xf numFmtId="164" fontId="11" fillId="0" borderId="24" xfId="60" applyNumberFormat="1" applyFont="1" applyFill="1" applyBorder="1" applyAlignment="1">
      <alignment vertical="center"/>
      <protection/>
    </xf>
    <xf numFmtId="164" fontId="11" fillId="0" borderId="0" xfId="62" applyNumberFormat="1" applyFont="1" applyAlignment="1">
      <alignment horizontal="center" vertical="center" wrapText="1"/>
      <protection/>
    </xf>
    <xf numFmtId="164" fontId="11" fillId="0" borderId="0" xfId="62" applyNumberFormat="1" applyFont="1" applyAlignment="1">
      <alignment vertical="center" wrapText="1"/>
      <protection/>
    </xf>
    <xf numFmtId="164" fontId="11" fillId="0" borderId="0" xfId="62" applyNumberFormat="1" applyFont="1" applyAlignment="1">
      <alignment horizontal="right" vertical="center" wrapText="1"/>
      <protection/>
    </xf>
    <xf numFmtId="164" fontId="9" fillId="0" borderId="0" xfId="62" applyNumberFormat="1" applyFont="1" applyAlignment="1">
      <alignment horizontal="center" vertical="center" wrapText="1"/>
      <protection/>
    </xf>
    <xf numFmtId="164" fontId="9" fillId="0" borderId="0" xfId="62" applyNumberFormat="1" applyFont="1" applyBorder="1" applyAlignment="1">
      <alignment horizontal="center" vertical="center" wrapText="1"/>
      <protection/>
    </xf>
    <xf numFmtId="164" fontId="11" fillId="0" borderId="0" xfId="62" applyNumberFormat="1" applyFont="1" applyBorder="1" applyAlignment="1">
      <alignment vertical="center" wrapText="1"/>
      <protection/>
    </xf>
    <xf numFmtId="164" fontId="9" fillId="0" borderId="25" xfId="62" applyNumberFormat="1" applyFont="1" applyBorder="1" applyAlignment="1">
      <alignment horizontal="center" vertical="center" wrapText="1"/>
      <protection/>
    </xf>
    <xf numFmtId="164" fontId="11" fillId="0" borderId="10" xfId="62" applyNumberFormat="1" applyFont="1" applyBorder="1" applyAlignment="1">
      <alignment horizontal="right" vertical="center" wrapText="1"/>
      <protection/>
    </xf>
    <xf numFmtId="164" fontId="11" fillId="0" borderId="14" xfId="62" applyNumberFormat="1" applyFont="1" applyBorder="1" applyAlignment="1">
      <alignment horizontal="right" vertical="center" wrapText="1"/>
      <protection/>
    </xf>
    <xf numFmtId="164" fontId="9" fillId="0" borderId="17" xfId="62" applyNumberFormat="1" applyFont="1" applyBorder="1" applyAlignment="1">
      <alignment horizontal="left" vertical="center" wrapText="1"/>
      <protection/>
    </xf>
    <xf numFmtId="164" fontId="9" fillId="0" borderId="16" xfId="62" applyNumberFormat="1" applyFont="1" applyBorder="1" applyAlignment="1">
      <alignment vertical="center" wrapText="1"/>
      <protection/>
    </xf>
    <xf numFmtId="164" fontId="9" fillId="0" borderId="13" xfId="62" applyNumberFormat="1" applyFont="1" applyBorder="1" applyAlignment="1">
      <alignment vertical="center" wrapText="1"/>
      <protection/>
    </xf>
    <xf numFmtId="164" fontId="9" fillId="0" borderId="0" xfId="62" applyNumberFormat="1" applyFont="1" applyBorder="1" applyAlignment="1">
      <alignment vertical="center" wrapText="1"/>
      <protection/>
    </xf>
    <xf numFmtId="164" fontId="9" fillId="0" borderId="0" xfId="62" applyNumberFormat="1" applyFont="1" applyAlignment="1">
      <alignment vertical="center" wrapText="1"/>
      <protection/>
    </xf>
    <xf numFmtId="164" fontId="26" fillId="0" borderId="0" xfId="62" applyNumberFormat="1" applyFont="1">
      <alignment/>
      <protection/>
    </xf>
    <xf numFmtId="164" fontId="11" fillId="0" borderId="0" xfId="62" applyNumberFormat="1" applyFont="1">
      <alignment/>
      <protection/>
    </xf>
    <xf numFmtId="164" fontId="11" fillId="0" borderId="0" xfId="62" applyNumberFormat="1" applyFont="1" applyFill="1" applyBorder="1">
      <alignment/>
      <protection/>
    </xf>
    <xf numFmtId="164" fontId="11" fillId="0" borderId="0" xfId="78" applyNumberFormat="1" applyFont="1">
      <alignment/>
      <protection/>
    </xf>
    <xf numFmtId="164" fontId="11" fillId="0" borderId="0" xfId="62" applyNumberFormat="1" applyFont="1" applyAlignment="1">
      <alignment horizontal="right"/>
      <protection/>
    </xf>
    <xf numFmtId="164" fontId="9" fillId="0" borderId="29" xfId="62" applyNumberFormat="1" applyFont="1" applyBorder="1" applyAlignment="1">
      <alignment horizontal="center"/>
      <protection/>
    </xf>
    <xf numFmtId="164" fontId="9" fillId="0" borderId="30" xfId="62" applyNumberFormat="1" applyFont="1" applyBorder="1" applyAlignment="1">
      <alignment horizontal="center" vertical="center" wrapText="1"/>
      <protection/>
    </xf>
    <xf numFmtId="164" fontId="9" fillId="0" borderId="17" xfId="62" applyNumberFormat="1" applyFont="1" applyBorder="1" applyAlignment="1">
      <alignment horizontal="center" vertical="center" wrapText="1"/>
      <protection/>
    </xf>
    <xf numFmtId="164" fontId="9" fillId="0" borderId="16" xfId="62" applyNumberFormat="1" applyFont="1" applyBorder="1" applyAlignment="1">
      <alignment horizontal="right" vertical="center"/>
      <protection/>
    </xf>
    <xf numFmtId="164" fontId="9" fillId="0" borderId="31" xfId="62" applyNumberFormat="1" applyFont="1" applyBorder="1" applyAlignment="1">
      <alignment horizontal="right" vertical="center"/>
      <protection/>
    </xf>
    <xf numFmtId="164" fontId="9" fillId="0" borderId="22" xfId="62" applyNumberFormat="1" applyFont="1" applyBorder="1" applyAlignment="1">
      <alignment horizontal="left" vertical="center" wrapText="1"/>
      <protection/>
    </xf>
    <xf numFmtId="164" fontId="9" fillId="0" borderId="23" xfId="62" applyNumberFormat="1" applyFont="1" applyFill="1" applyBorder="1" applyAlignment="1">
      <alignment horizontal="right" vertical="center" wrapText="1"/>
      <protection/>
    </xf>
    <xf numFmtId="164" fontId="9" fillId="0" borderId="23" xfId="62" applyNumberFormat="1" applyFont="1" applyBorder="1" applyAlignment="1">
      <alignment horizontal="right"/>
      <protection/>
    </xf>
    <xf numFmtId="164" fontId="9" fillId="0" borderId="32" xfId="62" applyNumberFormat="1" applyFont="1" applyBorder="1" applyAlignment="1">
      <alignment horizontal="right"/>
      <protection/>
    </xf>
    <xf numFmtId="164" fontId="11" fillId="0" borderId="22" xfId="62" applyNumberFormat="1" applyFont="1" applyBorder="1" applyAlignment="1">
      <alignment horizontal="left" vertical="center" wrapText="1"/>
      <protection/>
    </xf>
    <xf numFmtId="164" fontId="11" fillId="0" borderId="23" xfId="62" applyNumberFormat="1" applyFont="1" applyBorder="1" applyAlignment="1">
      <alignment horizontal="right" vertical="center"/>
      <protection/>
    </xf>
    <xf numFmtId="164" fontId="9" fillId="0" borderId="32" xfId="62" applyNumberFormat="1" applyFont="1" applyBorder="1" applyAlignment="1">
      <alignment horizontal="right" vertical="center"/>
      <protection/>
    </xf>
    <xf numFmtId="164" fontId="11" fillId="0" borderId="12" xfId="62" applyNumberFormat="1" applyFont="1" applyBorder="1" applyAlignment="1">
      <alignment horizontal="left" vertical="center" wrapText="1"/>
      <protection/>
    </xf>
    <xf numFmtId="164" fontId="11" fillId="0" borderId="10" xfId="62" applyNumberFormat="1" applyFont="1" applyFill="1" applyBorder="1" applyAlignment="1">
      <alignment horizontal="right" vertical="center"/>
      <protection/>
    </xf>
    <xf numFmtId="164" fontId="9" fillId="0" borderId="13" xfId="62" applyNumberFormat="1" applyFont="1" applyBorder="1" applyAlignment="1">
      <alignment horizontal="right" vertical="center"/>
      <protection/>
    </xf>
    <xf numFmtId="164" fontId="9" fillId="0" borderId="25" xfId="62" applyNumberFormat="1" applyFont="1" applyBorder="1" applyAlignment="1">
      <alignment horizontal="center" vertical="center"/>
      <protection/>
    </xf>
    <xf numFmtId="164" fontId="11" fillId="0" borderId="0" xfId="62" applyNumberFormat="1" applyFont="1" applyAlignment="1">
      <alignment vertical="center"/>
      <protection/>
    </xf>
    <xf numFmtId="164" fontId="11" fillId="0" borderId="10" xfId="62" applyNumberFormat="1" applyFont="1" applyBorder="1" applyAlignment="1">
      <alignment horizontal="right" vertical="center"/>
      <protection/>
    </xf>
    <xf numFmtId="164" fontId="9" fillId="0" borderId="14" xfId="62" applyNumberFormat="1" applyFont="1" applyBorder="1" applyAlignment="1">
      <alignment horizontal="right" vertical="center"/>
      <protection/>
    </xf>
    <xf numFmtId="164" fontId="9" fillId="0" borderId="12" xfId="62" applyNumberFormat="1" applyFont="1" applyBorder="1" applyAlignment="1">
      <alignment horizontal="left" vertical="center" wrapText="1"/>
      <protection/>
    </xf>
    <xf numFmtId="164" fontId="9" fillId="0" borderId="10" xfId="62" applyNumberFormat="1" applyFont="1" applyFill="1" applyBorder="1" applyAlignment="1">
      <alignment horizontal="right" vertical="center"/>
      <protection/>
    </xf>
    <xf numFmtId="164" fontId="24" fillId="0" borderId="10" xfId="65" applyNumberFormat="1" applyFont="1" applyFill="1" applyBorder="1" applyAlignment="1">
      <alignment vertical="center"/>
      <protection/>
    </xf>
    <xf numFmtId="49" fontId="9" fillId="0" borderId="0" xfId="0" applyNumberFormat="1" applyFont="1" applyFill="1" applyBorder="1" applyAlignment="1">
      <alignment/>
    </xf>
    <xf numFmtId="49" fontId="11" fillId="0" borderId="0" xfId="0" applyNumberFormat="1" applyFont="1" applyFill="1" applyBorder="1" applyAlignment="1">
      <alignment horizontal="left" indent="3"/>
    </xf>
    <xf numFmtId="49" fontId="11" fillId="0" borderId="0" xfId="0" applyNumberFormat="1" applyFont="1" applyFill="1" applyBorder="1" applyAlignment="1">
      <alignment/>
    </xf>
    <xf numFmtId="49" fontId="11" fillId="0" borderId="10" xfId="0" applyNumberFormat="1" applyFont="1" applyFill="1" applyBorder="1" applyAlignment="1">
      <alignment horizontal="left" indent="2"/>
    </xf>
    <xf numFmtId="164" fontId="11" fillId="0" borderId="10" xfId="60" applyNumberFormat="1" applyFont="1" applyFill="1" applyBorder="1" applyAlignment="1">
      <alignment horizontal="left" vertical="center" indent="2"/>
      <protection/>
    </xf>
    <xf numFmtId="49" fontId="9" fillId="0" borderId="16" xfId="0" applyNumberFormat="1" applyFont="1" applyFill="1" applyBorder="1" applyAlignment="1">
      <alignment/>
    </xf>
    <xf numFmtId="0" fontId="11" fillId="0" borderId="0" xfId="0" applyFont="1" applyAlignment="1">
      <alignment/>
    </xf>
    <xf numFmtId="164" fontId="11" fillId="0" borderId="0" xfId="62" applyNumberFormat="1" applyFont="1" applyBorder="1" applyAlignment="1">
      <alignment horizontal="center" vertical="center" wrapText="1"/>
      <protection/>
    </xf>
    <xf numFmtId="164" fontId="16" fillId="0" borderId="18" xfId="75" applyNumberFormat="1" applyFont="1" applyFill="1" applyBorder="1" applyAlignment="1">
      <alignment horizontal="centerContinuous" vertical="center"/>
      <protection/>
    </xf>
    <xf numFmtId="164" fontId="16" fillId="0" borderId="18" xfId="75" applyNumberFormat="1" applyFont="1" applyFill="1" applyBorder="1" applyAlignment="1">
      <alignment horizontal="center" vertical="center"/>
      <protection/>
    </xf>
    <xf numFmtId="164" fontId="16" fillId="0" borderId="18" xfId="72" applyNumberFormat="1" applyFont="1" applyFill="1" applyBorder="1" applyAlignment="1">
      <alignment vertical="center"/>
      <protection/>
    </xf>
    <xf numFmtId="164" fontId="16" fillId="0" borderId="0" xfId="75" applyNumberFormat="1" applyFont="1" applyFill="1" applyBorder="1" applyAlignment="1">
      <alignment horizontal="right" vertical="center"/>
      <protection/>
    </xf>
    <xf numFmtId="164" fontId="17" fillId="0" borderId="0" xfId="75" applyNumberFormat="1" applyFont="1" applyFill="1" applyAlignment="1">
      <alignment horizontal="right" vertical="center"/>
      <protection/>
    </xf>
    <xf numFmtId="164" fontId="17" fillId="0" borderId="0" xfId="75" applyNumberFormat="1" applyFont="1" applyFill="1" applyBorder="1" applyAlignment="1">
      <alignment vertical="center"/>
      <protection/>
    </xf>
    <xf numFmtId="164" fontId="17" fillId="0" borderId="0" xfId="75" applyNumberFormat="1" applyFont="1" applyFill="1" applyBorder="1" applyAlignment="1">
      <alignment horizontal="right" vertical="center"/>
      <protection/>
    </xf>
    <xf numFmtId="164" fontId="17" fillId="0" borderId="33" xfId="75" applyNumberFormat="1" applyFont="1" applyFill="1" applyBorder="1" applyAlignment="1">
      <alignment horizontal="center" vertical="center"/>
      <protection/>
    </xf>
    <xf numFmtId="164" fontId="17" fillId="0" borderId="34" xfId="75" applyNumberFormat="1" applyFont="1" applyFill="1" applyBorder="1" applyAlignment="1">
      <alignment horizontal="center" vertical="center"/>
      <protection/>
    </xf>
    <xf numFmtId="164" fontId="17" fillId="0" borderId="35" xfId="75" applyNumberFormat="1" applyFont="1" applyFill="1" applyBorder="1" applyAlignment="1">
      <alignment horizontal="center" vertical="center"/>
      <protection/>
    </xf>
    <xf numFmtId="164" fontId="17" fillId="0" borderId="36" xfId="75" applyNumberFormat="1" applyFont="1" applyFill="1" applyBorder="1" applyAlignment="1">
      <alignment horizontal="center" vertical="center"/>
      <protection/>
    </xf>
    <xf numFmtId="164" fontId="17" fillId="0" borderId="37" xfId="75" applyNumberFormat="1" applyFont="1" applyFill="1" applyBorder="1" applyAlignment="1">
      <alignment horizontal="right" vertical="center"/>
      <protection/>
    </xf>
    <xf numFmtId="164" fontId="16" fillId="0" borderId="37" xfId="75" applyNumberFormat="1" applyFont="1" applyFill="1" applyBorder="1" applyAlignment="1">
      <alignment horizontal="centerContinuous" vertical="center"/>
      <protection/>
    </xf>
    <xf numFmtId="164" fontId="16" fillId="0" borderId="20" xfId="72" applyNumberFormat="1" applyFont="1" applyFill="1" applyBorder="1" applyAlignment="1">
      <alignment vertical="center"/>
      <protection/>
    </xf>
    <xf numFmtId="164" fontId="16" fillId="0" borderId="0" xfId="72" applyNumberFormat="1" applyFont="1" applyFill="1" applyBorder="1" applyAlignment="1">
      <alignment vertical="center"/>
      <protection/>
    </xf>
    <xf numFmtId="164" fontId="16" fillId="0" borderId="37" xfId="72" applyNumberFormat="1" applyFont="1" applyFill="1" applyBorder="1" applyAlignment="1">
      <alignment vertical="center"/>
      <protection/>
    </xf>
    <xf numFmtId="3" fontId="11" fillId="0" borderId="14" xfId="62" applyNumberFormat="1" applyFont="1" applyBorder="1" applyAlignment="1">
      <alignment vertical="center"/>
      <protection/>
    </xf>
    <xf numFmtId="3" fontId="11" fillId="0" borderId="15" xfId="62" applyNumberFormat="1" applyFont="1" applyBorder="1" applyAlignment="1">
      <alignment vertical="center"/>
      <protection/>
    </xf>
    <xf numFmtId="3" fontId="9" fillId="0" borderId="38" xfId="60" applyNumberFormat="1" applyFont="1" applyFill="1" applyBorder="1" applyAlignment="1">
      <alignment vertical="center"/>
      <protection/>
    </xf>
    <xf numFmtId="164" fontId="9" fillId="0" borderId="16" xfId="0" applyNumberFormat="1" applyFont="1" applyFill="1" applyBorder="1" applyAlignment="1">
      <alignment vertical="center"/>
    </xf>
    <xf numFmtId="164" fontId="9" fillId="0" borderId="16" xfId="0" applyNumberFormat="1" applyFont="1" applyBorder="1" applyAlignment="1">
      <alignment vertical="center"/>
    </xf>
    <xf numFmtId="164" fontId="11" fillId="0" borderId="16" xfId="0" applyNumberFormat="1" applyFont="1" applyBorder="1" applyAlignment="1">
      <alignment vertical="center"/>
    </xf>
    <xf numFmtId="164" fontId="11" fillId="0" borderId="13" xfId="0" applyNumberFormat="1" applyFont="1" applyBorder="1" applyAlignment="1">
      <alignment vertical="center"/>
    </xf>
    <xf numFmtId="164" fontId="9" fillId="0" borderId="23" xfId="0" applyNumberFormat="1" applyFont="1" applyBorder="1" applyAlignment="1">
      <alignment vertical="center"/>
    </xf>
    <xf numFmtId="164" fontId="11" fillId="0" borderId="23" xfId="0" applyNumberFormat="1" applyFont="1" applyBorder="1" applyAlignment="1">
      <alignment vertical="center"/>
    </xf>
    <xf numFmtId="164" fontId="11" fillId="0" borderId="21" xfId="0" applyNumberFormat="1" applyFont="1" applyBorder="1" applyAlignment="1">
      <alignment vertical="center"/>
    </xf>
    <xf numFmtId="164" fontId="11" fillId="0" borderId="10" xfId="0" applyNumberFormat="1" applyFont="1" applyBorder="1" applyAlignment="1">
      <alignment vertical="center"/>
    </xf>
    <xf numFmtId="164" fontId="11" fillId="0" borderId="14" xfId="0" applyNumberFormat="1" applyFont="1" applyBorder="1" applyAlignment="1">
      <alignment vertical="center"/>
    </xf>
    <xf numFmtId="164" fontId="11" fillId="0" borderId="11" xfId="0" applyNumberFormat="1" applyFont="1" applyBorder="1" applyAlignment="1">
      <alignment vertical="center"/>
    </xf>
    <xf numFmtId="164" fontId="11" fillId="0" borderId="15" xfId="0" applyNumberFormat="1" applyFont="1" applyBorder="1" applyAlignment="1">
      <alignment vertical="center"/>
    </xf>
    <xf numFmtId="164" fontId="11" fillId="0" borderId="39" xfId="0" applyNumberFormat="1" applyFont="1" applyBorder="1" applyAlignment="1">
      <alignment vertical="center"/>
    </xf>
    <xf numFmtId="164" fontId="11" fillId="0" borderId="38" xfId="0" applyNumberFormat="1" applyFont="1" applyBorder="1" applyAlignment="1">
      <alignment vertical="center"/>
    </xf>
    <xf numFmtId="164" fontId="9" fillId="0" borderId="17" xfId="0" applyNumberFormat="1" applyFont="1" applyBorder="1" applyAlignment="1">
      <alignment vertical="center"/>
    </xf>
    <xf numFmtId="164" fontId="9" fillId="0" borderId="16" xfId="0" applyNumberFormat="1" applyFont="1" applyFill="1" applyBorder="1" applyAlignment="1">
      <alignment horizontal="left" vertical="center"/>
    </xf>
    <xf numFmtId="164" fontId="9" fillId="0" borderId="13" xfId="0" applyNumberFormat="1" applyFont="1" applyBorder="1" applyAlignment="1">
      <alignment vertical="center"/>
    </xf>
    <xf numFmtId="164" fontId="9" fillId="0" borderId="40" xfId="0" applyNumberFormat="1" applyFont="1" applyBorder="1" applyAlignment="1">
      <alignment vertical="center"/>
    </xf>
    <xf numFmtId="164" fontId="11" fillId="0" borderId="40" xfId="0" applyNumberFormat="1" applyFont="1" applyBorder="1" applyAlignment="1">
      <alignment vertical="center"/>
    </xf>
    <xf numFmtId="164" fontId="9" fillId="0" borderId="41" xfId="0" applyNumberFormat="1" applyFont="1" applyBorder="1" applyAlignment="1">
      <alignment vertical="center"/>
    </xf>
    <xf numFmtId="164" fontId="9" fillId="0" borderId="42" xfId="0" applyNumberFormat="1" applyFont="1" applyBorder="1" applyAlignment="1">
      <alignment vertical="center"/>
    </xf>
    <xf numFmtId="164" fontId="11" fillId="0" borderId="43" xfId="0" applyNumberFormat="1" applyFont="1" applyBorder="1" applyAlignment="1">
      <alignment vertical="center"/>
    </xf>
    <xf numFmtId="49" fontId="9" fillId="0" borderId="10" xfId="0" applyNumberFormat="1" applyFont="1" applyFill="1" applyBorder="1" applyAlignment="1">
      <alignment horizontal="left" indent="1"/>
    </xf>
    <xf numFmtId="49" fontId="9" fillId="0" borderId="23" xfId="0" applyNumberFormat="1" applyFont="1" applyFill="1" applyBorder="1" applyAlignment="1">
      <alignment horizontal="left" indent="1"/>
    </xf>
    <xf numFmtId="164" fontId="11" fillId="0" borderId="42" xfId="0" applyNumberFormat="1" applyFont="1" applyBorder="1" applyAlignment="1">
      <alignment vertical="center"/>
    </xf>
    <xf numFmtId="164" fontId="11" fillId="0" borderId="44" xfId="0" applyNumberFormat="1" applyFont="1" applyBorder="1" applyAlignment="1">
      <alignment vertical="center"/>
    </xf>
    <xf numFmtId="164" fontId="24" fillId="24" borderId="26" xfId="62" applyNumberFormat="1" applyFont="1" applyFill="1" applyBorder="1" applyAlignment="1" applyProtection="1">
      <alignment horizontal="center" vertical="center" wrapText="1"/>
      <protection/>
    </xf>
    <xf numFmtId="164" fontId="9" fillId="0" borderId="28" xfId="0" applyNumberFormat="1" applyFont="1" applyFill="1" applyBorder="1" applyAlignment="1">
      <alignment vertical="center"/>
    </xf>
    <xf numFmtId="164" fontId="9" fillId="0" borderId="10" xfId="0" applyNumberFormat="1" applyFont="1" applyBorder="1" applyAlignment="1">
      <alignment vertical="center"/>
    </xf>
    <xf numFmtId="164" fontId="9" fillId="0" borderId="21" xfId="0" applyNumberFormat="1" applyFont="1" applyBorder="1" applyAlignment="1">
      <alignment vertical="center"/>
    </xf>
    <xf numFmtId="164" fontId="9" fillId="0" borderId="14" xfId="0" applyNumberFormat="1" applyFont="1" applyBorder="1" applyAlignment="1">
      <alignment vertical="center"/>
    </xf>
    <xf numFmtId="3" fontId="5" fillId="0" borderId="0" xfId="60" applyNumberFormat="1" applyFont="1" applyFill="1" applyBorder="1" applyAlignment="1">
      <alignment horizontal="right" vertical="center"/>
      <protection/>
    </xf>
    <xf numFmtId="164" fontId="5" fillId="0" borderId="0" xfId="84" applyNumberFormat="1" applyFont="1" applyAlignment="1">
      <alignment horizontal="right" vertical="center"/>
      <protection/>
    </xf>
    <xf numFmtId="166" fontId="14" fillId="0" borderId="0" xfId="75" applyNumberFormat="1" applyFont="1" applyFill="1" applyBorder="1" applyAlignment="1">
      <alignment vertical="center"/>
      <protection/>
    </xf>
    <xf numFmtId="3" fontId="11" fillId="0" borderId="45" xfId="0" applyNumberFormat="1" applyFont="1" applyFill="1" applyBorder="1" applyAlignment="1">
      <alignment/>
    </xf>
    <xf numFmtId="3" fontId="11" fillId="0" borderId="38" xfId="0" applyNumberFormat="1" applyFont="1" applyFill="1" applyBorder="1" applyAlignment="1">
      <alignment/>
    </xf>
    <xf numFmtId="3" fontId="9" fillId="0" borderId="0" xfId="60" applyNumberFormat="1" applyFont="1" applyFill="1" applyAlignment="1">
      <alignment horizontal="center" vertical="center"/>
      <protection/>
    </xf>
    <xf numFmtId="3" fontId="18" fillId="0" borderId="0" xfId="62" applyNumberFormat="1" applyFont="1" applyAlignment="1">
      <alignment vertical="center"/>
      <protection/>
    </xf>
    <xf numFmtId="3" fontId="15" fillId="0" borderId="35" xfId="62" applyNumberFormat="1" applyFont="1" applyBorder="1" applyAlignment="1">
      <alignment vertical="center"/>
      <protection/>
    </xf>
    <xf numFmtId="3" fontId="18" fillId="0" borderId="37" xfId="62" applyNumberFormat="1" applyFont="1" applyBorder="1" applyAlignment="1">
      <alignment vertical="center"/>
      <protection/>
    </xf>
    <xf numFmtId="3" fontId="5" fillId="0" borderId="0" xfId="60" applyNumberFormat="1" applyFont="1" applyFill="1" applyAlignment="1">
      <alignment vertical="center"/>
      <protection/>
    </xf>
    <xf numFmtId="164" fontId="9" fillId="0" borderId="16" xfId="60" applyNumberFormat="1" applyFont="1" applyFill="1" applyBorder="1" applyAlignment="1">
      <alignment vertical="center"/>
      <protection/>
    </xf>
    <xf numFmtId="164" fontId="24" fillId="0" borderId="10" xfId="65" applyNumberFormat="1" applyFont="1" applyFill="1" applyBorder="1" applyAlignment="1">
      <alignment horizontal="left" vertical="center"/>
      <protection/>
    </xf>
    <xf numFmtId="0" fontId="11" fillId="0" borderId="10" xfId="77" applyFont="1" applyFill="1" applyBorder="1" applyAlignment="1">
      <alignment horizontal="left" vertical="center" indent="2"/>
      <protection/>
    </xf>
    <xf numFmtId="49" fontId="11" fillId="0" borderId="23" xfId="0" applyNumberFormat="1" applyFont="1" applyFill="1" applyBorder="1" applyAlignment="1">
      <alignment horizontal="left" indent="2"/>
    </xf>
    <xf numFmtId="49" fontId="11" fillId="0" borderId="25" xfId="0" applyNumberFormat="1" applyFont="1" applyFill="1" applyBorder="1" applyAlignment="1">
      <alignment horizontal="left" indent="2"/>
    </xf>
    <xf numFmtId="164" fontId="11" fillId="0" borderId="0" xfId="0" applyNumberFormat="1" applyFont="1" applyAlignment="1">
      <alignment/>
    </xf>
    <xf numFmtId="0" fontId="11" fillId="0" borderId="0" xfId="0" applyFont="1" applyFill="1" applyBorder="1" applyAlignment="1">
      <alignment/>
    </xf>
    <xf numFmtId="0" fontId="11" fillId="0" borderId="0" xfId="0" applyFont="1" applyFill="1" applyAlignment="1">
      <alignment/>
    </xf>
    <xf numFmtId="167" fontId="11" fillId="0" borderId="0" xfId="0" applyNumberFormat="1" applyFont="1" applyFill="1" applyBorder="1" applyAlignment="1">
      <alignment/>
    </xf>
    <xf numFmtId="3" fontId="11" fillId="0" borderId="12" xfId="62" applyNumberFormat="1" applyFont="1" applyBorder="1" applyAlignment="1">
      <alignment horizontal="center" vertical="center"/>
      <protection/>
    </xf>
    <xf numFmtId="3" fontId="11" fillId="0" borderId="24" xfId="62" applyNumberFormat="1" applyFont="1" applyBorder="1" applyAlignment="1">
      <alignment horizontal="center" vertical="center"/>
      <protection/>
    </xf>
    <xf numFmtId="3" fontId="9" fillId="0" borderId="46" xfId="62" applyNumberFormat="1" applyFont="1" applyBorder="1" applyAlignment="1">
      <alignment horizontal="center" vertical="center"/>
      <protection/>
    </xf>
    <xf numFmtId="3" fontId="9" fillId="0" borderId="47" xfId="62" applyNumberFormat="1" applyFont="1" applyBorder="1" applyAlignment="1">
      <alignment horizontal="center" vertical="center"/>
      <protection/>
    </xf>
    <xf numFmtId="3" fontId="9" fillId="0" borderId="17" xfId="62" applyNumberFormat="1" applyFont="1" applyBorder="1" applyAlignment="1">
      <alignment horizontal="center" vertical="center"/>
      <protection/>
    </xf>
    <xf numFmtId="3" fontId="11" fillId="0" borderId="22" xfId="62" applyNumberFormat="1" applyFont="1" applyBorder="1" applyAlignment="1">
      <alignment horizontal="center" vertical="center"/>
      <protection/>
    </xf>
    <xf numFmtId="3" fontId="9" fillId="0" borderId="13" xfId="62" applyNumberFormat="1" applyFont="1" applyBorder="1" applyAlignment="1">
      <alignment horizontal="center" vertical="center"/>
      <protection/>
    </xf>
    <xf numFmtId="3" fontId="19" fillId="0" borderId="0" xfId="60" applyNumberFormat="1" applyFont="1" applyFill="1" applyAlignment="1">
      <alignment vertical="center"/>
      <protection/>
    </xf>
    <xf numFmtId="0" fontId="11" fillId="0" borderId="0" xfId="0" applyFont="1" applyFill="1" applyAlignment="1">
      <alignment vertical="center"/>
    </xf>
    <xf numFmtId="0" fontId="11" fillId="0" borderId="0" xfId="0" applyFont="1" applyFill="1" applyBorder="1" applyAlignment="1">
      <alignment vertical="center"/>
    </xf>
    <xf numFmtId="164" fontId="11" fillId="0" borderId="22" xfId="84" applyNumberFormat="1" applyFont="1" applyFill="1" applyBorder="1" applyAlignment="1">
      <alignment horizontal="left" vertical="center" wrapText="1"/>
      <protection/>
    </xf>
    <xf numFmtId="164" fontId="11" fillId="0" borderId="22" xfId="84" applyNumberFormat="1" applyFont="1" applyFill="1" applyBorder="1" applyAlignment="1">
      <alignment horizontal="left" vertical="center"/>
      <protection/>
    </xf>
    <xf numFmtId="3" fontId="11" fillId="0" borderId="0" xfId="62" applyNumberFormat="1" applyFont="1" applyBorder="1" applyAlignment="1">
      <alignment horizontal="right" vertical="center"/>
      <protection/>
    </xf>
    <xf numFmtId="3" fontId="11" fillId="0" borderId="46" xfId="62" applyNumberFormat="1" applyFont="1" applyBorder="1" applyAlignment="1">
      <alignment horizontal="center" vertical="center"/>
      <protection/>
    </xf>
    <xf numFmtId="164" fontId="11" fillId="0" borderId="0" xfId="60" applyNumberFormat="1" applyFont="1" applyFill="1" applyAlignment="1">
      <alignment vertical="center"/>
      <protection/>
    </xf>
    <xf numFmtId="164" fontId="11" fillId="0" borderId="0" xfId="60" applyNumberFormat="1" applyFont="1" applyFill="1" applyAlignment="1">
      <alignment horizontal="right" vertical="center"/>
      <protection/>
    </xf>
    <xf numFmtId="164" fontId="11" fillId="0" borderId="10" xfId="0" applyNumberFormat="1" applyFont="1" applyFill="1" applyBorder="1" applyAlignment="1">
      <alignment horizontal="left" vertical="center" indent="2"/>
    </xf>
    <xf numFmtId="164" fontId="11" fillId="0" borderId="0" xfId="84" applyNumberFormat="1" applyFont="1" applyAlignment="1">
      <alignment horizontal="right"/>
      <protection/>
    </xf>
    <xf numFmtId="164" fontId="11" fillId="0" borderId="0" xfId="0" applyNumberFormat="1" applyFont="1" applyFill="1" applyAlignment="1">
      <alignment vertical="center"/>
    </xf>
    <xf numFmtId="164" fontId="9" fillId="0" borderId="17" xfId="0" applyNumberFormat="1" applyFont="1" applyBorder="1" applyAlignment="1">
      <alignment horizontal="center" vertical="center"/>
    </xf>
    <xf numFmtId="164" fontId="9" fillId="0" borderId="48" xfId="0" applyNumberFormat="1" applyFont="1" applyBorder="1" applyAlignment="1">
      <alignment horizontal="center" vertical="center"/>
    </xf>
    <xf numFmtId="164" fontId="9" fillId="0" borderId="22" xfId="0" applyNumberFormat="1" applyFont="1" applyBorder="1" applyAlignment="1">
      <alignment horizontal="center" vertical="center"/>
    </xf>
    <xf numFmtId="164" fontId="9" fillId="0" borderId="12" xfId="0" applyNumberFormat="1" applyFont="1" applyBorder="1" applyAlignment="1">
      <alignment horizontal="center" vertical="center"/>
    </xf>
    <xf numFmtId="164" fontId="9" fillId="0" borderId="28" xfId="0" applyNumberFormat="1" applyFont="1" applyBorder="1" applyAlignment="1">
      <alignment horizontal="center" vertical="center"/>
    </xf>
    <xf numFmtId="164" fontId="9" fillId="0" borderId="24" xfId="0" applyNumberFormat="1" applyFont="1" applyBorder="1" applyAlignment="1">
      <alignment horizontal="center" vertical="center"/>
    </xf>
    <xf numFmtId="164" fontId="9" fillId="0" borderId="49" xfId="0" applyNumberFormat="1" applyFont="1" applyBorder="1" applyAlignment="1">
      <alignment horizontal="center" vertical="center"/>
    </xf>
    <xf numFmtId="164" fontId="9" fillId="0" borderId="50" xfId="0" applyNumberFormat="1" applyFont="1" applyBorder="1" applyAlignment="1">
      <alignment horizontal="center" vertical="center"/>
    </xf>
    <xf numFmtId="49" fontId="11" fillId="0" borderId="11" xfId="0" applyNumberFormat="1" applyFont="1" applyFill="1" applyBorder="1" applyAlignment="1">
      <alignment horizontal="left" indent="2"/>
    </xf>
    <xf numFmtId="49" fontId="11" fillId="0" borderId="10" xfId="0" applyNumberFormat="1" applyFont="1" applyFill="1" applyBorder="1" applyAlignment="1">
      <alignment horizontal="left" vertical="center" indent="2"/>
    </xf>
    <xf numFmtId="0" fontId="11" fillId="0" borderId="51" xfId="0" applyFont="1" applyFill="1" applyBorder="1" applyAlignment="1">
      <alignment vertical="center"/>
    </xf>
    <xf numFmtId="49" fontId="9" fillId="0" borderId="25" xfId="0" applyNumberFormat="1" applyFont="1" applyFill="1" applyBorder="1" applyAlignment="1">
      <alignment horizontal="left" indent="1"/>
    </xf>
    <xf numFmtId="164" fontId="9" fillId="0" borderId="25" xfId="0" applyNumberFormat="1" applyFont="1" applyFill="1" applyBorder="1" applyAlignment="1">
      <alignment vertical="center"/>
    </xf>
    <xf numFmtId="164" fontId="11" fillId="0" borderId="25" xfId="0" applyNumberFormat="1" applyFont="1" applyBorder="1" applyAlignment="1">
      <alignment vertical="center"/>
    </xf>
    <xf numFmtId="164" fontId="9" fillId="0" borderId="25" xfId="0" applyNumberFormat="1" applyFont="1" applyBorder="1" applyAlignment="1">
      <alignment vertical="center"/>
    </xf>
    <xf numFmtId="164" fontId="11" fillId="0" borderId="52" xfId="0" applyNumberFormat="1" applyFont="1" applyBorder="1" applyAlignment="1">
      <alignment vertical="center"/>
    </xf>
    <xf numFmtId="164" fontId="9" fillId="0" borderId="12" xfId="60" applyNumberFormat="1" applyFont="1" applyFill="1" applyBorder="1" applyAlignment="1">
      <alignment vertical="center"/>
      <protection/>
    </xf>
    <xf numFmtId="164" fontId="9" fillId="0" borderId="10" xfId="60" applyNumberFormat="1" applyFont="1" applyFill="1" applyBorder="1" applyAlignment="1">
      <alignment vertical="center"/>
      <protection/>
    </xf>
    <xf numFmtId="164" fontId="11" fillId="0" borderId="10" xfId="0" applyNumberFormat="1" applyFont="1" applyFill="1" applyBorder="1" applyAlignment="1">
      <alignment vertical="center"/>
    </xf>
    <xf numFmtId="164" fontId="11" fillId="0" borderId="12" xfId="60" applyNumberFormat="1" applyFont="1" applyFill="1" applyBorder="1" applyAlignment="1">
      <alignment horizontal="left" vertical="center"/>
      <protection/>
    </xf>
    <xf numFmtId="164" fontId="33" fillId="0" borderId="10" xfId="76" applyNumberFormat="1" applyFont="1" applyFill="1" applyBorder="1" applyAlignment="1" applyProtection="1">
      <alignment vertical="center"/>
      <protection/>
    </xf>
    <xf numFmtId="164" fontId="11" fillId="0" borderId="12" xfId="60" applyNumberFormat="1" applyFont="1" applyFill="1" applyBorder="1" applyAlignment="1">
      <alignment horizontal="left" vertical="center" indent="2"/>
      <protection/>
    </xf>
    <xf numFmtId="4" fontId="11" fillId="0" borderId="10" xfId="0" applyNumberFormat="1" applyFont="1" applyFill="1" applyBorder="1" applyAlignment="1">
      <alignment vertical="center"/>
    </xf>
    <xf numFmtId="4" fontId="11" fillId="0" borderId="14" xfId="0" applyNumberFormat="1" applyFont="1" applyFill="1" applyBorder="1" applyAlignment="1">
      <alignment vertical="center"/>
    </xf>
    <xf numFmtId="164" fontId="11" fillId="0" borderId="11" xfId="0" applyNumberFormat="1" applyFont="1" applyFill="1" applyBorder="1" applyAlignment="1">
      <alignment vertical="center"/>
    </xf>
    <xf numFmtId="4" fontId="11" fillId="0" borderId="11" xfId="0" applyNumberFormat="1" applyFont="1" applyFill="1" applyBorder="1" applyAlignment="1">
      <alignment vertical="center"/>
    </xf>
    <xf numFmtId="4" fontId="11" fillId="0" borderId="15" xfId="0" applyNumberFormat="1" applyFont="1" applyFill="1" applyBorder="1" applyAlignment="1">
      <alignment vertical="center"/>
    </xf>
    <xf numFmtId="164" fontId="9" fillId="0" borderId="17" xfId="60" applyNumberFormat="1" applyFont="1" applyFill="1" applyBorder="1" applyAlignment="1">
      <alignment vertical="center"/>
      <protection/>
    </xf>
    <xf numFmtId="164" fontId="9" fillId="0" borderId="46" xfId="60" applyNumberFormat="1" applyFont="1" applyFill="1" applyBorder="1" applyAlignment="1">
      <alignment vertical="center"/>
      <protection/>
    </xf>
    <xf numFmtId="164" fontId="9" fillId="0" borderId="30" xfId="0" applyNumberFormat="1" applyFont="1" applyFill="1" applyBorder="1" applyAlignment="1">
      <alignment vertical="center"/>
    </xf>
    <xf numFmtId="164" fontId="9" fillId="0" borderId="53" xfId="0" applyNumberFormat="1" applyFont="1" applyFill="1" applyBorder="1" applyAlignment="1">
      <alignment vertical="center"/>
    </xf>
    <xf numFmtId="164" fontId="11" fillId="0" borderId="11" xfId="60" applyNumberFormat="1" applyFont="1" applyFill="1" applyBorder="1" applyAlignment="1">
      <alignment vertical="center"/>
      <protection/>
    </xf>
    <xf numFmtId="164" fontId="11" fillId="0" borderId="23" xfId="60" applyNumberFormat="1" applyFont="1" applyFill="1" applyBorder="1" applyAlignment="1">
      <alignment vertical="center"/>
      <protection/>
    </xf>
    <xf numFmtId="164" fontId="11" fillId="0" borderId="23" xfId="0" applyNumberFormat="1" applyFont="1" applyFill="1" applyBorder="1" applyAlignment="1">
      <alignment vertical="center"/>
    </xf>
    <xf numFmtId="164" fontId="11" fillId="0" borderId="21" xfId="0" applyNumberFormat="1" applyFont="1" applyFill="1" applyBorder="1" applyAlignment="1">
      <alignment vertical="center"/>
    </xf>
    <xf numFmtId="164" fontId="9" fillId="0" borderId="13" xfId="60" applyNumberFormat="1" applyFont="1" applyFill="1" applyBorder="1" applyAlignment="1">
      <alignment vertical="center"/>
      <protection/>
    </xf>
    <xf numFmtId="164" fontId="11" fillId="0" borderId="25" xfId="60" applyNumberFormat="1" applyFont="1" applyFill="1" applyBorder="1" applyAlignment="1">
      <alignment vertical="center"/>
      <protection/>
    </xf>
    <xf numFmtId="164" fontId="11" fillId="0" borderId="25" xfId="0" applyNumberFormat="1" applyFont="1" applyFill="1" applyBorder="1" applyAlignment="1">
      <alignment vertical="center"/>
    </xf>
    <xf numFmtId="164" fontId="11" fillId="0" borderId="52" xfId="0" applyNumberFormat="1" applyFont="1" applyFill="1" applyBorder="1" applyAlignment="1">
      <alignment vertical="center"/>
    </xf>
    <xf numFmtId="164" fontId="11" fillId="0" borderId="12" xfId="84" applyNumberFormat="1" applyFont="1" applyFill="1" applyBorder="1" applyAlignment="1">
      <alignment horizontal="left" vertical="center" wrapText="1"/>
      <protection/>
    </xf>
    <xf numFmtId="164" fontId="11" fillId="0" borderId="22" xfId="80" applyNumberFormat="1" applyFont="1" applyFill="1" applyBorder="1" applyAlignment="1">
      <alignment horizontal="left" vertical="center" wrapText="1"/>
      <protection/>
    </xf>
    <xf numFmtId="164" fontId="5" fillId="0" borderId="51" xfId="80" applyNumberFormat="1" applyFont="1" applyFill="1" applyBorder="1" applyAlignment="1">
      <alignment horizontal="left" vertical="center"/>
      <protection/>
    </xf>
    <xf numFmtId="164" fontId="16" fillId="0" borderId="28" xfId="75" applyNumberFormat="1" applyFont="1" applyFill="1" applyBorder="1" applyAlignment="1">
      <alignment vertical="center"/>
      <protection/>
    </xf>
    <xf numFmtId="164" fontId="16" fillId="0" borderId="27" xfId="75" applyNumberFormat="1" applyFont="1" applyFill="1" applyBorder="1" applyAlignment="1">
      <alignment vertical="center"/>
      <protection/>
    </xf>
    <xf numFmtId="164" fontId="16" fillId="0" borderId="31" xfId="75" applyNumberFormat="1" applyFont="1" applyFill="1" applyBorder="1" applyAlignment="1">
      <alignment vertical="center"/>
      <protection/>
    </xf>
    <xf numFmtId="164" fontId="11" fillId="0" borderId="11" xfId="0" applyNumberFormat="1" applyFont="1" applyFill="1" applyBorder="1" applyAlignment="1">
      <alignment horizontal="left" vertical="center" indent="2"/>
    </xf>
    <xf numFmtId="49" fontId="11" fillId="0" borderId="39" xfId="0" applyNumberFormat="1" applyFont="1" applyFill="1" applyBorder="1" applyAlignment="1">
      <alignment horizontal="left" indent="2"/>
    </xf>
    <xf numFmtId="0" fontId="24" fillId="0" borderId="10" xfId="67" applyFont="1" applyFill="1" applyBorder="1" applyAlignment="1" applyProtection="1">
      <alignment horizontal="left" indent="2"/>
      <protection locked="0"/>
    </xf>
    <xf numFmtId="0" fontId="11" fillId="0" borderId="39" xfId="77" applyFont="1" applyFill="1" applyBorder="1" applyAlignment="1">
      <alignment horizontal="left" vertical="center" indent="2"/>
      <protection/>
    </xf>
    <xf numFmtId="164" fontId="9" fillId="0" borderId="51" xfId="0" applyNumberFormat="1" applyFont="1" applyBorder="1" applyAlignment="1">
      <alignment horizontal="center" vertical="center"/>
    </xf>
    <xf numFmtId="0" fontId="9" fillId="0" borderId="0" xfId="0" applyFont="1" applyAlignment="1">
      <alignment/>
    </xf>
    <xf numFmtId="164" fontId="24" fillId="0" borderId="40" xfId="62" applyNumberFormat="1" applyFont="1" applyBorder="1" applyAlignment="1" applyProtection="1">
      <alignment vertical="center" wrapText="1"/>
      <protection locked="0"/>
    </xf>
    <xf numFmtId="164" fontId="24" fillId="0" borderId="40" xfId="62" applyNumberFormat="1" applyFont="1" applyBorder="1" applyAlignment="1">
      <alignment vertical="center" wrapText="1"/>
      <protection/>
    </xf>
    <xf numFmtId="164" fontId="20" fillId="0" borderId="40" xfId="62" applyNumberFormat="1" applyFont="1" applyBorder="1" applyAlignment="1">
      <alignment vertical="center" wrapText="1"/>
      <protection/>
    </xf>
    <xf numFmtId="164" fontId="24" fillId="0" borderId="54" xfId="62" applyNumberFormat="1" applyFont="1" applyBorder="1" applyAlignment="1" applyProtection="1">
      <alignment vertical="center" wrapText="1"/>
      <protection locked="0"/>
    </xf>
    <xf numFmtId="164" fontId="20" fillId="0" borderId="55" xfId="62" applyNumberFormat="1" applyFont="1" applyBorder="1" applyAlignment="1">
      <alignment vertical="center" wrapText="1"/>
      <protection/>
    </xf>
    <xf numFmtId="164" fontId="24" fillId="0" borderId="51" xfId="62" applyNumberFormat="1" applyFont="1" applyBorder="1" applyAlignment="1">
      <alignment horizontal="center" vertical="center" wrapText="1"/>
      <protection/>
    </xf>
    <xf numFmtId="164" fontId="24" fillId="0" borderId="22" xfId="62" applyNumberFormat="1" applyFont="1" applyBorder="1" applyAlignment="1">
      <alignment horizontal="center" vertical="center" wrapText="1"/>
      <protection/>
    </xf>
    <xf numFmtId="164" fontId="24" fillId="0" borderId="12" xfId="62" applyNumberFormat="1" applyFont="1" applyBorder="1" applyAlignment="1">
      <alignment horizontal="center" vertical="center" wrapText="1"/>
      <protection/>
    </xf>
    <xf numFmtId="164" fontId="20" fillId="0" borderId="12" xfId="62" applyNumberFormat="1" applyFont="1" applyBorder="1" applyAlignment="1">
      <alignment horizontal="center" vertical="center" wrapText="1"/>
      <protection/>
    </xf>
    <xf numFmtId="164" fontId="24" fillId="0" borderId="56" xfId="62" applyNumberFormat="1" applyFont="1" applyBorder="1" applyAlignment="1">
      <alignment horizontal="center" vertical="center" wrapText="1"/>
      <protection/>
    </xf>
    <xf numFmtId="164" fontId="20" fillId="0" borderId="46" xfId="62" applyNumberFormat="1" applyFont="1" applyBorder="1" applyAlignment="1">
      <alignment horizontal="center" vertical="center" wrapText="1"/>
      <protection/>
    </xf>
    <xf numFmtId="0" fontId="11" fillId="0" borderId="10" xfId="62" applyFont="1" applyBorder="1" applyAlignment="1">
      <alignment horizontal="left" vertical="center" indent="1"/>
      <protection/>
    </xf>
    <xf numFmtId="0" fontId="11" fillId="0" borderId="11" xfId="62" applyFont="1" applyBorder="1" applyAlignment="1">
      <alignment horizontal="left" vertical="center" indent="1"/>
      <protection/>
    </xf>
    <xf numFmtId="0" fontId="5" fillId="0" borderId="0" xfId="62" applyFont="1" applyAlignment="1">
      <alignment horizontal="right" vertical="center"/>
      <protection/>
    </xf>
    <xf numFmtId="3" fontId="18" fillId="0" borderId="34" xfId="62" applyNumberFormat="1" applyFont="1" applyBorder="1" applyAlignment="1">
      <alignment horizontal="center" vertical="center"/>
      <protection/>
    </xf>
    <xf numFmtId="3" fontId="18" fillId="0" borderId="0" xfId="62" applyNumberFormat="1" applyFont="1" applyBorder="1" applyAlignment="1">
      <alignment horizontal="left" vertical="center" indent="2"/>
      <protection/>
    </xf>
    <xf numFmtId="3" fontId="9" fillId="0" borderId="0" xfId="60" applyNumberFormat="1" applyFont="1" applyFill="1" applyBorder="1" applyAlignment="1">
      <alignment horizontal="left" vertical="center" wrapText="1"/>
      <protection/>
    </xf>
    <xf numFmtId="3" fontId="3" fillId="0" borderId="37" xfId="62" applyNumberFormat="1" applyFont="1" applyBorder="1" applyAlignment="1">
      <alignment vertical="center"/>
      <protection/>
    </xf>
    <xf numFmtId="3" fontId="18" fillId="0" borderId="37" xfId="62" applyNumberFormat="1" applyFont="1" applyBorder="1" applyAlignment="1">
      <alignment vertical="center"/>
      <protection/>
    </xf>
    <xf numFmtId="164" fontId="9" fillId="0" borderId="51" xfId="60" applyNumberFormat="1" applyFont="1" applyFill="1" applyBorder="1" applyAlignment="1">
      <alignment vertical="center"/>
      <protection/>
    </xf>
    <xf numFmtId="164" fontId="9" fillId="0" borderId="12" xfId="60" applyNumberFormat="1" applyFont="1" applyFill="1" applyBorder="1" applyAlignment="1">
      <alignment vertical="center" wrapText="1"/>
      <protection/>
    </xf>
    <xf numFmtId="164" fontId="9" fillId="0" borderId="22" xfId="60" applyNumberFormat="1" applyFont="1" applyFill="1" applyBorder="1" applyAlignment="1">
      <alignment vertical="center"/>
      <protection/>
    </xf>
    <xf numFmtId="164" fontId="9" fillId="0" borderId="24" xfId="60" applyNumberFormat="1" applyFont="1" applyFill="1" applyBorder="1" applyAlignment="1">
      <alignment vertical="center"/>
      <protection/>
    </xf>
    <xf numFmtId="164" fontId="9" fillId="0" borderId="26" xfId="62" applyNumberFormat="1" applyFont="1" applyBorder="1" applyAlignment="1">
      <alignment horizontal="center" vertical="center" wrapText="1"/>
      <protection/>
    </xf>
    <xf numFmtId="3" fontId="18" fillId="0" borderId="57" xfId="62" applyNumberFormat="1" applyFont="1" applyBorder="1" applyAlignment="1">
      <alignment horizontal="left" vertical="center" indent="1"/>
      <protection/>
    </xf>
    <xf numFmtId="0" fontId="5" fillId="0" borderId="0" xfId="60" applyFont="1" applyFill="1" applyAlignment="1">
      <alignment vertical="center"/>
      <protection/>
    </xf>
    <xf numFmtId="3" fontId="5" fillId="0" borderId="0" xfId="60" applyNumberFormat="1" applyFont="1" applyFill="1" applyAlignment="1">
      <alignment horizontal="right" vertical="center"/>
      <protection/>
    </xf>
    <xf numFmtId="0" fontId="5" fillId="0" borderId="0" xfId="60" applyFont="1" applyFill="1" applyAlignment="1">
      <alignment horizontal="center" vertical="center"/>
      <protection/>
    </xf>
    <xf numFmtId="3" fontId="6" fillId="0" borderId="0" xfId="60" applyNumberFormat="1" applyFont="1" applyFill="1" applyBorder="1" applyAlignment="1">
      <alignment horizontal="right" vertical="center"/>
      <protection/>
    </xf>
    <xf numFmtId="3" fontId="5" fillId="0" borderId="0" xfId="60" applyNumberFormat="1" applyFont="1" applyFill="1" applyBorder="1" applyAlignment="1">
      <alignment horizontal="center" vertical="center"/>
      <protection/>
    </xf>
    <xf numFmtId="0" fontId="4" fillId="0" borderId="17" xfId="60" applyFont="1" applyFill="1" applyBorder="1" applyAlignment="1">
      <alignment horizontal="center" vertical="center"/>
      <protection/>
    </xf>
    <xf numFmtId="3" fontId="4" fillId="0" borderId="16" xfId="60" applyNumberFormat="1" applyFont="1" applyFill="1" applyBorder="1" applyAlignment="1">
      <alignment vertical="center"/>
      <protection/>
    </xf>
    <xf numFmtId="3" fontId="5" fillId="0" borderId="0" xfId="40" applyNumberFormat="1" applyFont="1" applyFill="1" applyBorder="1" applyAlignment="1">
      <alignment vertical="center"/>
    </xf>
    <xf numFmtId="0" fontId="4" fillId="0" borderId="22" xfId="60" applyFont="1" applyFill="1" applyBorder="1" applyAlignment="1">
      <alignment horizontal="center" vertical="center"/>
      <protection/>
    </xf>
    <xf numFmtId="3" fontId="4" fillId="0" borderId="23" xfId="60" applyNumberFormat="1" applyFont="1" applyFill="1" applyBorder="1" applyAlignment="1">
      <alignment vertical="center"/>
      <protection/>
    </xf>
    <xf numFmtId="0" fontId="4" fillId="0" borderId="0" xfId="60" applyFont="1" applyFill="1" applyAlignment="1">
      <alignment vertical="center"/>
      <protection/>
    </xf>
    <xf numFmtId="0" fontId="4" fillId="0" borderId="12" xfId="60" applyFont="1" applyFill="1" applyBorder="1" applyAlignment="1">
      <alignment horizontal="center" vertical="center"/>
      <protection/>
    </xf>
    <xf numFmtId="3" fontId="4" fillId="0" borderId="10" xfId="60" applyNumberFormat="1" applyFont="1" applyFill="1" applyBorder="1" applyAlignment="1">
      <alignment vertical="center"/>
      <protection/>
    </xf>
    <xf numFmtId="0" fontId="5" fillId="0" borderId="12" xfId="60" applyFont="1" applyFill="1" applyBorder="1" applyAlignment="1">
      <alignment horizontal="center" vertical="center"/>
      <protection/>
    </xf>
    <xf numFmtId="1" fontId="5" fillId="0" borderId="10" xfId="60" applyNumberFormat="1" applyFont="1" applyFill="1" applyBorder="1" applyAlignment="1">
      <alignment vertical="center"/>
      <protection/>
    </xf>
    <xf numFmtId="3" fontId="5" fillId="0" borderId="0" xfId="60" applyNumberFormat="1" applyFont="1" applyFill="1" applyBorder="1" applyAlignment="1">
      <alignment vertical="center"/>
      <protection/>
    </xf>
    <xf numFmtId="0" fontId="4" fillId="0" borderId="24" xfId="60" applyFont="1" applyFill="1" applyBorder="1" applyAlignment="1">
      <alignment horizontal="center" vertical="center"/>
      <protection/>
    </xf>
    <xf numFmtId="164" fontId="4" fillId="0" borderId="13" xfId="40" applyNumberFormat="1" applyFont="1" applyFill="1" applyBorder="1" applyAlignment="1">
      <alignment vertical="center"/>
    </xf>
    <xf numFmtId="164" fontId="4" fillId="0" borderId="21" xfId="40" applyNumberFormat="1" applyFont="1" applyFill="1" applyBorder="1" applyAlignment="1">
      <alignment vertical="center"/>
    </xf>
    <xf numFmtId="164" fontId="4" fillId="0" borderId="15" xfId="60" applyNumberFormat="1" applyFont="1" applyFill="1" applyBorder="1" applyAlignment="1">
      <alignment vertical="center"/>
      <protection/>
    </xf>
    <xf numFmtId="164" fontId="4" fillId="0" borderId="14" xfId="40" applyNumberFormat="1" applyFont="1" applyFill="1" applyBorder="1" applyAlignment="1">
      <alignment vertical="center"/>
    </xf>
    <xf numFmtId="1" fontId="5" fillId="0" borderId="10" xfId="60" applyNumberFormat="1" applyFont="1" applyFill="1" applyBorder="1" applyAlignment="1">
      <alignment horizontal="left" vertical="center" indent="1"/>
      <protection/>
    </xf>
    <xf numFmtId="0" fontId="5" fillId="0" borderId="24" xfId="60" applyFont="1" applyFill="1" applyBorder="1" applyAlignment="1">
      <alignment horizontal="center" vertical="center"/>
      <protection/>
    </xf>
    <xf numFmtId="1" fontId="5" fillId="0" borderId="11" xfId="60" applyNumberFormat="1" applyFont="1" applyFill="1" applyBorder="1" applyAlignment="1">
      <alignment vertical="center"/>
      <protection/>
    </xf>
    <xf numFmtId="0" fontId="5" fillId="0" borderId="0" xfId="60" applyFont="1" applyFill="1" applyBorder="1" applyAlignment="1">
      <alignment vertical="center"/>
      <protection/>
    </xf>
    <xf numFmtId="168" fontId="5" fillId="0" borderId="0" xfId="60" applyNumberFormat="1" applyFont="1" applyFill="1" applyBorder="1" applyAlignment="1">
      <alignment vertical="center"/>
      <protection/>
    </xf>
    <xf numFmtId="164" fontId="5" fillId="0" borderId="14" xfId="0" applyNumberFormat="1" applyFont="1" applyFill="1" applyBorder="1" applyAlignment="1">
      <alignment horizontal="right" vertical="center"/>
    </xf>
    <xf numFmtId="168" fontId="5" fillId="0" borderId="0" xfId="0" applyNumberFormat="1" applyFont="1" applyFill="1" applyBorder="1" applyAlignment="1">
      <alignment horizontal="right"/>
    </xf>
    <xf numFmtId="3" fontId="4" fillId="0" borderId="10" xfId="60" applyNumberFormat="1" applyFont="1" applyFill="1" applyBorder="1" applyAlignment="1">
      <alignment vertical="center" shrinkToFit="1"/>
      <protection/>
    </xf>
    <xf numFmtId="164" fontId="4" fillId="0" borderId="14" xfId="60" applyNumberFormat="1" applyFont="1" applyFill="1" applyBorder="1" applyAlignment="1">
      <alignment vertical="center"/>
      <protection/>
    </xf>
    <xf numFmtId="0" fontId="5" fillId="0" borderId="58" xfId="77" applyFont="1" applyFill="1" applyBorder="1" applyAlignment="1">
      <alignment vertical="center"/>
      <protection/>
    </xf>
    <xf numFmtId="3" fontId="4" fillId="0" borderId="58" xfId="60" applyNumberFormat="1" applyFont="1" applyFill="1" applyBorder="1" applyAlignment="1">
      <alignment vertical="center"/>
      <protection/>
    </xf>
    <xf numFmtId="164" fontId="5" fillId="0" borderId="14" xfId="0" applyNumberFormat="1" applyFont="1" applyFill="1" applyBorder="1" applyAlignment="1">
      <alignment vertical="center"/>
    </xf>
    <xf numFmtId="164" fontId="5" fillId="0" borderId="10" xfId="60" applyNumberFormat="1" applyFont="1" applyFill="1" applyBorder="1" applyAlignment="1">
      <alignment vertical="center" wrapText="1"/>
      <protection/>
    </xf>
    <xf numFmtId="1" fontId="5" fillId="0" borderId="23" xfId="60" applyNumberFormat="1" applyFont="1" applyFill="1" applyBorder="1" applyAlignment="1">
      <alignment vertical="center"/>
      <protection/>
    </xf>
    <xf numFmtId="168" fontId="5" fillId="0" borderId="0" xfId="40" applyNumberFormat="1" applyFont="1" applyFill="1" applyBorder="1" applyAlignment="1">
      <alignment vertical="center"/>
    </xf>
    <xf numFmtId="164" fontId="4" fillId="0" borderId="53" xfId="40" applyNumberFormat="1" applyFont="1" applyFill="1" applyBorder="1" applyAlignment="1">
      <alignment vertical="center"/>
    </xf>
    <xf numFmtId="3" fontId="34" fillId="0" borderId="0" xfId="60" applyNumberFormat="1" applyFont="1" applyFill="1" applyAlignment="1">
      <alignment vertical="center"/>
      <protection/>
    </xf>
    <xf numFmtId="3" fontId="9" fillId="0" borderId="16" xfId="0" applyNumberFormat="1" applyFont="1" applyFill="1" applyBorder="1" applyAlignment="1">
      <alignment vertical="center"/>
    </xf>
    <xf numFmtId="3" fontId="9" fillId="0" borderId="13" xfId="0" applyNumberFormat="1" applyFont="1" applyFill="1" applyBorder="1" applyAlignment="1">
      <alignment vertical="center"/>
    </xf>
    <xf numFmtId="164" fontId="11" fillId="0" borderId="11" xfId="62" applyNumberFormat="1" applyFont="1" applyBorder="1" applyAlignment="1">
      <alignment vertical="center" wrapText="1"/>
      <protection/>
    </xf>
    <xf numFmtId="164" fontId="11" fillId="0" borderId="15" xfId="40" applyNumberFormat="1" applyFont="1" applyBorder="1" applyAlignment="1">
      <alignment horizontal="right" vertical="center" wrapText="1"/>
    </xf>
    <xf numFmtId="164" fontId="9" fillId="0" borderId="16" xfId="62" applyNumberFormat="1" applyFont="1" applyBorder="1" applyAlignment="1">
      <alignment vertical="center"/>
      <protection/>
    </xf>
    <xf numFmtId="164" fontId="9" fillId="0" borderId="13" xfId="40" applyNumberFormat="1" applyFont="1" applyBorder="1" applyAlignment="1">
      <alignment vertical="center"/>
    </xf>
    <xf numFmtId="164" fontId="11" fillId="0" borderId="23" xfId="62" applyNumberFormat="1" applyFont="1" applyBorder="1" applyAlignment="1">
      <alignment vertical="center"/>
      <protection/>
    </xf>
    <xf numFmtId="164" fontId="11" fillId="0" borderId="21" xfId="40" applyNumberFormat="1" applyFont="1" applyFill="1" applyBorder="1" applyAlignment="1">
      <alignment vertical="center"/>
    </xf>
    <xf numFmtId="164" fontId="11" fillId="0" borderId="10" xfId="62" applyNumberFormat="1" applyFont="1" applyBorder="1" applyAlignment="1">
      <alignment vertical="center"/>
      <protection/>
    </xf>
    <xf numFmtId="164" fontId="11" fillId="0" borderId="14" xfId="40" applyNumberFormat="1" applyFont="1" applyFill="1" applyBorder="1" applyAlignment="1">
      <alignment vertical="center"/>
    </xf>
    <xf numFmtId="164" fontId="11" fillId="0" borderId="11" xfId="62" applyNumberFormat="1" applyFont="1" applyBorder="1" applyAlignment="1">
      <alignment vertical="center"/>
      <protection/>
    </xf>
    <xf numFmtId="164" fontId="11" fillId="0" borderId="15" xfId="40" applyNumberFormat="1" applyFont="1" applyFill="1" applyBorder="1" applyAlignment="1">
      <alignment vertical="center"/>
    </xf>
    <xf numFmtId="164" fontId="9" fillId="0" borderId="29" xfId="62" applyNumberFormat="1" applyFont="1" applyBorder="1" applyAlignment="1">
      <alignment vertical="center"/>
      <protection/>
    </xf>
    <xf numFmtId="164" fontId="9" fillId="0" borderId="45" xfId="40" applyNumberFormat="1" applyFont="1" applyBorder="1" applyAlignment="1">
      <alignment vertical="center"/>
    </xf>
    <xf numFmtId="164" fontId="11" fillId="0" borderId="30" xfId="62" applyNumberFormat="1" applyFont="1" applyBorder="1" applyAlignment="1">
      <alignment vertical="center"/>
      <protection/>
    </xf>
    <xf numFmtId="164" fontId="11" fillId="0" borderId="53" xfId="40" applyNumberFormat="1" applyFont="1" applyBorder="1" applyAlignment="1">
      <alignment vertical="center"/>
    </xf>
    <xf numFmtId="164" fontId="9" fillId="0" borderId="30" xfId="62" applyNumberFormat="1" applyFont="1" applyBorder="1" applyAlignment="1">
      <alignment vertical="center"/>
      <protection/>
    </xf>
    <xf numFmtId="164" fontId="9" fillId="0" borderId="53" xfId="40" applyNumberFormat="1" applyFont="1" applyFill="1" applyBorder="1" applyAlignment="1">
      <alignment vertical="center"/>
    </xf>
    <xf numFmtId="164" fontId="9" fillId="0" borderId="46" xfId="0" applyNumberFormat="1" applyFont="1" applyBorder="1" applyAlignment="1">
      <alignment horizontal="center" vertical="center"/>
    </xf>
    <xf numFmtId="164" fontId="37" fillId="0" borderId="0" xfId="62" applyNumberFormat="1" applyFont="1" applyAlignment="1">
      <alignment horizontal="center" vertical="center" wrapText="1"/>
      <protection/>
    </xf>
    <xf numFmtId="164" fontId="37" fillId="0" borderId="0" xfId="62" applyNumberFormat="1" applyFont="1" applyAlignment="1">
      <alignment vertical="center" wrapText="1"/>
      <protection/>
    </xf>
    <xf numFmtId="164" fontId="37" fillId="0" borderId="0" xfId="62" applyNumberFormat="1" applyFont="1" applyAlignment="1">
      <alignment horizontal="right" vertical="center" wrapText="1"/>
      <protection/>
    </xf>
    <xf numFmtId="164" fontId="36" fillId="0" borderId="0" xfId="62" applyNumberFormat="1" applyFont="1" applyFill="1" applyAlignment="1">
      <alignment horizontal="center" vertical="center" wrapText="1"/>
      <protection/>
    </xf>
    <xf numFmtId="164" fontId="38" fillId="0" borderId="0" xfId="62" applyNumberFormat="1" applyFont="1" applyFill="1" applyAlignment="1">
      <alignment horizontal="center" vertical="center" wrapText="1"/>
      <protection/>
    </xf>
    <xf numFmtId="164" fontId="38" fillId="0" borderId="0" xfId="62" applyNumberFormat="1" applyFont="1" applyFill="1" applyAlignment="1">
      <alignment vertical="center" wrapText="1"/>
      <protection/>
    </xf>
    <xf numFmtId="164" fontId="36" fillId="0" borderId="56" xfId="62" applyNumberFormat="1" applyFont="1" applyFill="1" applyBorder="1" applyAlignment="1">
      <alignment horizontal="center" vertical="center" wrapText="1"/>
      <protection/>
    </xf>
    <xf numFmtId="164" fontId="36" fillId="0" borderId="26" xfId="62" applyNumberFormat="1" applyFont="1" applyFill="1" applyBorder="1" applyAlignment="1">
      <alignment horizontal="center" vertical="center" wrapText="1"/>
      <protection/>
    </xf>
    <xf numFmtId="164" fontId="36" fillId="0" borderId="59" xfId="62" applyNumberFormat="1" applyFont="1" applyFill="1" applyBorder="1" applyAlignment="1">
      <alignment horizontal="center" vertical="center" wrapText="1"/>
      <protection/>
    </xf>
    <xf numFmtId="164" fontId="36" fillId="0" borderId="54" xfId="62" applyNumberFormat="1" applyFont="1" applyFill="1" applyBorder="1" applyAlignment="1">
      <alignment horizontal="center" vertical="center" wrapText="1"/>
      <protection/>
    </xf>
    <xf numFmtId="164" fontId="38" fillId="0" borderId="22" xfId="62" applyNumberFormat="1" applyFont="1" applyFill="1" applyBorder="1" applyAlignment="1">
      <alignment horizontal="left" vertical="center" wrapText="1"/>
      <protection/>
    </xf>
    <xf numFmtId="164" fontId="38" fillId="0" borderId="23" xfId="62" applyNumberFormat="1" applyFont="1" applyFill="1" applyBorder="1" applyAlignment="1" applyProtection="1">
      <alignment vertical="center" wrapText="1"/>
      <protection locked="0"/>
    </xf>
    <xf numFmtId="164" fontId="38" fillId="0" borderId="23" xfId="0" applyNumberFormat="1" applyFont="1" applyFill="1" applyBorder="1" applyAlignment="1" applyProtection="1">
      <alignment vertical="center" wrapText="1"/>
      <protection locked="0"/>
    </xf>
    <xf numFmtId="164" fontId="38" fillId="0" borderId="21" xfId="62" applyNumberFormat="1" applyFont="1" applyFill="1" applyBorder="1" applyAlignment="1" applyProtection="1">
      <alignment vertical="center" wrapText="1"/>
      <protection locked="0"/>
    </xf>
    <xf numFmtId="164" fontId="38" fillId="0" borderId="42" xfId="62" applyNumberFormat="1" applyFont="1" applyFill="1" applyBorder="1" applyAlignment="1">
      <alignment vertical="center" wrapText="1"/>
      <protection/>
    </xf>
    <xf numFmtId="164" fontId="38" fillId="0" borderId="23" xfId="62" applyNumberFormat="1" applyFont="1" applyFill="1" applyBorder="1" applyAlignment="1">
      <alignment vertical="center" wrapText="1"/>
      <protection/>
    </xf>
    <xf numFmtId="164" fontId="38" fillId="0" borderId="21" xfId="62" applyNumberFormat="1" applyFont="1" applyFill="1" applyBorder="1" applyAlignment="1">
      <alignment vertical="center" wrapText="1"/>
      <protection/>
    </xf>
    <xf numFmtId="164" fontId="38" fillId="0" borderId="12" xfId="62" applyNumberFormat="1" applyFont="1" applyFill="1" applyBorder="1" applyAlignment="1">
      <alignment horizontal="left" vertical="center" wrapText="1"/>
      <protection/>
    </xf>
    <xf numFmtId="164" fontId="38" fillId="0" borderId="10" xfId="62" applyNumberFormat="1" applyFont="1" applyFill="1" applyBorder="1" applyAlignment="1" applyProtection="1">
      <alignment vertical="center" wrapText="1"/>
      <protection locked="0"/>
    </xf>
    <xf numFmtId="164" fontId="38" fillId="0" borderId="14" xfId="62" applyNumberFormat="1" applyFont="1" applyFill="1" applyBorder="1" applyAlignment="1" applyProtection="1">
      <alignment vertical="center" wrapText="1"/>
      <protection locked="0"/>
    </xf>
    <xf numFmtId="164" fontId="38" fillId="0" borderId="40" xfId="62" applyNumberFormat="1" applyFont="1" applyFill="1" applyBorder="1" applyAlignment="1">
      <alignment vertical="center" wrapText="1"/>
      <protection/>
    </xf>
    <xf numFmtId="164" fontId="38" fillId="0" borderId="10" xfId="62" applyNumberFormat="1" applyFont="1" applyFill="1" applyBorder="1" applyAlignment="1">
      <alignment vertical="center" wrapText="1"/>
      <protection/>
    </xf>
    <xf numFmtId="164" fontId="38" fillId="0" borderId="14" xfId="62" applyNumberFormat="1" applyFont="1" applyFill="1" applyBorder="1" applyAlignment="1">
      <alignment vertical="center" wrapText="1"/>
      <protection/>
    </xf>
    <xf numFmtId="164" fontId="38" fillId="0" borderId="12" xfId="62" applyNumberFormat="1" applyFont="1" applyFill="1" applyBorder="1" applyAlignment="1" applyProtection="1">
      <alignment horizontal="left" vertical="center" wrapText="1"/>
      <protection locked="0"/>
    </xf>
    <xf numFmtId="164" fontId="38" fillId="0" borderId="24" xfId="62" applyNumberFormat="1" applyFont="1" applyFill="1" applyBorder="1" applyAlignment="1" applyProtection="1">
      <alignment horizontal="left" vertical="center" wrapText="1"/>
      <protection locked="0"/>
    </xf>
    <xf numFmtId="164" fontId="38" fillId="0" borderId="11" xfId="62" applyNumberFormat="1" applyFont="1" applyFill="1" applyBorder="1" applyAlignment="1" applyProtection="1">
      <alignment vertical="center" wrapText="1"/>
      <protection locked="0"/>
    </xf>
    <xf numFmtId="164" fontId="38" fillId="0" borderId="15" xfId="62" applyNumberFormat="1" applyFont="1" applyFill="1" applyBorder="1" applyAlignment="1" applyProtection="1">
      <alignment vertical="center" wrapText="1"/>
      <protection locked="0"/>
    </xf>
    <xf numFmtId="164" fontId="38" fillId="0" borderId="43" xfId="62" applyNumberFormat="1" applyFont="1" applyFill="1" applyBorder="1" applyAlignment="1" applyProtection="1">
      <alignment vertical="center" wrapText="1"/>
      <protection locked="0"/>
    </xf>
    <xf numFmtId="164" fontId="38" fillId="0" borderId="11" xfId="62" applyNumberFormat="1" applyFont="1" applyFill="1" applyBorder="1" applyAlignment="1">
      <alignment vertical="center" wrapText="1"/>
      <protection/>
    </xf>
    <xf numFmtId="164" fontId="38" fillId="0" borderId="15" xfId="62" applyNumberFormat="1" applyFont="1" applyFill="1" applyBorder="1" applyAlignment="1">
      <alignment vertical="center" wrapText="1"/>
      <protection/>
    </xf>
    <xf numFmtId="164" fontId="36" fillId="0" borderId="17" xfId="62" applyNumberFormat="1" applyFont="1" applyFill="1" applyBorder="1" applyAlignment="1">
      <alignment horizontal="left" vertical="center" wrapText="1"/>
      <protection/>
    </xf>
    <xf numFmtId="164" fontId="36" fillId="0" borderId="16" xfId="62" applyNumberFormat="1" applyFont="1" applyFill="1" applyBorder="1" applyAlignment="1">
      <alignment vertical="center" wrapText="1"/>
      <protection/>
    </xf>
    <xf numFmtId="164" fontId="36" fillId="0" borderId="13" xfId="62" applyNumberFormat="1" applyFont="1" applyFill="1" applyBorder="1" applyAlignment="1">
      <alignment vertical="center" wrapText="1"/>
      <protection/>
    </xf>
    <xf numFmtId="164" fontId="36" fillId="0" borderId="41" xfId="62" applyNumberFormat="1" applyFont="1" applyFill="1" applyBorder="1" applyAlignment="1">
      <alignment vertical="center" wrapText="1"/>
      <protection/>
    </xf>
    <xf numFmtId="164" fontId="36" fillId="0" borderId="46" xfId="62" applyNumberFormat="1" applyFont="1" applyFill="1" applyBorder="1" applyAlignment="1">
      <alignment horizontal="left" vertical="center" wrapText="1"/>
      <protection/>
    </xf>
    <xf numFmtId="164" fontId="38" fillId="0" borderId="30" xfId="62" applyNumberFormat="1" applyFont="1" applyFill="1" applyBorder="1" applyAlignment="1" applyProtection="1">
      <alignment horizontal="center" vertical="center" wrapText="1"/>
      <protection locked="0"/>
    </xf>
    <xf numFmtId="164" fontId="38" fillId="0" borderId="30" xfId="62" applyNumberFormat="1" applyFont="1" applyFill="1" applyBorder="1" applyAlignment="1" applyProtection="1">
      <alignment horizontal="right" vertical="center" wrapText="1"/>
      <protection locked="0"/>
    </xf>
    <xf numFmtId="164" fontId="38" fillId="0" borderId="53" xfId="62" applyNumberFormat="1" applyFont="1" applyFill="1" applyBorder="1" applyAlignment="1" applyProtection="1">
      <alignment horizontal="right" vertical="center" wrapText="1"/>
      <protection locked="0"/>
    </xf>
    <xf numFmtId="164" fontId="36" fillId="0" borderId="55" xfId="62" applyNumberFormat="1" applyFont="1" applyFill="1" applyBorder="1" applyAlignment="1">
      <alignment vertical="center" wrapText="1"/>
      <protection/>
    </xf>
    <xf numFmtId="164" fontId="38" fillId="0" borderId="53" xfId="62" applyNumberFormat="1" applyFont="1" applyFill="1" applyBorder="1" applyAlignment="1" applyProtection="1">
      <alignment horizontal="center" vertical="center" wrapText="1"/>
      <protection locked="0"/>
    </xf>
    <xf numFmtId="164" fontId="38" fillId="0" borderId="0" xfId="62" applyNumberFormat="1" applyFont="1" applyFill="1" applyAlignment="1">
      <alignment horizontal="right" vertical="center" wrapText="1"/>
      <protection/>
    </xf>
    <xf numFmtId="164" fontId="38" fillId="0" borderId="40" xfId="62" applyNumberFormat="1" applyFont="1" applyFill="1" applyBorder="1" applyAlignment="1" applyProtection="1">
      <alignment vertical="center" wrapText="1"/>
      <protection locked="0"/>
    </xf>
    <xf numFmtId="3" fontId="18" fillId="0" borderId="60" xfId="62" applyNumberFormat="1" applyFont="1" applyBorder="1" applyAlignment="1">
      <alignment vertical="center"/>
      <protection/>
    </xf>
    <xf numFmtId="3" fontId="18" fillId="0" borderId="31" xfId="62" applyNumberFormat="1" applyFont="1" applyBorder="1" applyAlignment="1">
      <alignment vertical="center"/>
      <protection/>
    </xf>
    <xf numFmtId="164" fontId="4" fillId="0" borderId="25" xfId="0" applyNumberFormat="1" applyFont="1" applyFill="1" applyBorder="1" applyAlignment="1">
      <alignment horizontal="center" vertical="center"/>
    </xf>
    <xf numFmtId="164" fontId="4" fillId="0" borderId="30" xfId="0" applyNumberFormat="1" applyFont="1" applyFill="1" applyBorder="1" applyAlignment="1">
      <alignment horizontal="center" vertical="center" wrapText="1"/>
    </xf>
    <xf numFmtId="164" fontId="4" fillId="0" borderId="39" xfId="0" applyNumberFormat="1" applyFont="1" applyFill="1" applyBorder="1" applyAlignment="1">
      <alignment horizontal="center" vertical="center"/>
    </xf>
    <xf numFmtId="164" fontId="4" fillId="0" borderId="39" xfId="0" applyNumberFormat="1" applyFont="1" applyFill="1" applyBorder="1" applyAlignment="1">
      <alignment horizontal="center" vertical="center" wrapText="1"/>
    </xf>
    <xf numFmtId="164" fontId="21" fillId="0" borderId="28" xfId="74" applyNumberFormat="1" applyFont="1" applyFill="1" applyBorder="1" applyAlignment="1">
      <alignment horizontal="center" vertical="center" wrapText="1"/>
      <protection/>
    </xf>
    <xf numFmtId="164" fontId="7" fillId="0" borderId="17" xfId="71" applyNumberFormat="1" applyFont="1" applyFill="1" applyBorder="1" applyAlignment="1">
      <alignment horizontal="center" vertical="center" wrapText="1" shrinkToFit="1"/>
      <protection/>
    </xf>
    <xf numFmtId="164" fontId="7" fillId="0" borderId="17" xfId="84" applyNumberFormat="1" applyFont="1" applyFill="1" applyBorder="1" applyAlignment="1">
      <alignment horizontal="center" vertical="center" wrapText="1"/>
      <protection/>
    </xf>
    <xf numFmtId="164" fontId="7" fillId="0" borderId="17" xfId="0" applyNumberFormat="1" applyFont="1" applyFill="1" applyBorder="1" applyAlignment="1">
      <alignment horizontal="center" vertical="center" wrapText="1"/>
    </xf>
    <xf numFmtId="164" fontId="7" fillId="0" borderId="17" xfId="71" applyNumberFormat="1" applyFont="1" applyFill="1" applyBorder="1" applyAlignment="1">
      <alignment horizontal="center" vertical="center" wrapText="1"/>
      <protection/>
    </xf>
    <xf numFmtId="164" fontId="7" fillId="0" borderId="17" xfId="61" applyNumberFormat="1" applyFont="1" applyFill="1" applyBorder="1" applyAlignment="1">
      <alignment horizontal="center" vertical="center" wrapText="1"/>
      <protection/>
    </xf>
    <xf numFmtId="164" fontId="7" fillId="0" borderId="19" xfId="80" applyNumberFormat="1" applyFont="1" applyFill="1" applyBorder="1" applyAlignment="1">
      <alignment horizontal="center" vertical="center" wrapText="1"/>
      <protection/>
    </xf>
    <xf numFmtId="164" fontId="7" fillId="0" borderId="19" xfId="61" applyNumberFormat="1" applyFont="1" applyFill="1" applyBorder="1" applyAlignment="1">
      <alignment horizontal="center" vertical="center" wrapText="1"/>
      <protection/>
    </xf>
    <xf numFmtId="164" fontId="7" fillId="0" borderId="19" xfId="84" applyNumberFormat="1" applyFont="1" applyFill="1" applyBorder="1" applyAlignment="1">
      <alignment horizontal="center" vertical="center" wrapText="1"/>
      <protection/>
    </xf>
    <xf numFmtId="164" fontId="17" fillId="0" borderId="19" xfId="75" applyNumberFormat="1" applyFont="1" applyFill="1" applyBorder="1" applyAlignment="1">
      <alignment horizontal="centerContinuous" vertical="center" wrapText="1"/>
      <protection/>
    </xf>
    <xf numFmtId="164" fontId="16" fillId="0" borderId="61" xfId="74" applyNumberFormat="1" applyFont="1" applyFill="1" applyBorder="1" applyAlignment="1">
      <alignment horizontal="centerContinuous" vertical="center"/>
      <protection/>
    </xf>
    <xf numFmtId="164" fontId="17" fillId="0" borderId="18" xfId="74" applyNumberFormat="1" applyFont="1" applyFill="1" applyBorder="1" applyAlignment="1">
      <alignment vertical="center"/>
      <protection/>
    </xf>
    <xf numFmtId="164" fontId="16" fillId="0" borderId="18" xfId="74" applyNumberFormat="1" applyFont="1" applyFill="1" applyBorder="1" applyAlignment="1">
      <alignment vertical="center"/>
      <protection/>
    </xf>
    <xf numFmtId="164" fontId="16" fillId="0" borderId="18" xfId="72" applyNumberFormat="1" applyFont="1" applyFill="1" applyBorder="1" applyAlignment="1">
      <alignment vertical="center"/>
      <protection/>
    </xf>
    <xf numFmtId="164" fontId="39" fillId="0" borderId="18" xfId="74" applyNumberFormat="1" applyFont="1" applyFill="1" applyBorder="1" applyAlignment="1">
      <alignment vertical="center"/>
      <protection/>
    </xf>
    <xf numFmtId="164" fontId="15" fillId="0" borderId="18" xfId="74" applyNumberFormat="1" applyFont="1" applyFill="1" applyBorder="1" applyAlignment="1">
      <alignment vertical="center"/>
      <protection/>
    </xf>
    <xf numFmtId="164" fontId="16" fillId="0" borderId="18" xfId="74" applyNumberFormat="1" applyFont="1" applyFill="1" applyBorder="1" applyAlignment="1">
      <alignment vertical="center"/>
      <protection/>
    </xf>
    <xf numFmtId="164" fontId="17" fillId="0" borderId="18" xfId="74" applyNumberFormat="1" applyFont="1" applyFill="1" applyBorder="1" applyAlignment="1">
      <alignment vertical="center"/>
      <protection/>
    </xf>
    <xf numFmtId="164" fontId="12" fillId="0" borderId="62" xfId="74" applyNumberFormat="1" applyFont="1" applyFill="1" applyBorder="1" applyAlignment="1">
      <alignment vertical="center"/>
      <protection/>
    </xf>
    <xf numFmtId="164" fontId="16" fillId="0" borderId="61" xfId="74" applyNumberFormat="1" applyFont="1" applyFill="1" applyBorder="1" applyAlignment="1">
      <alignment vertical="center"/>
      <protection/>
    </xf>
    <xf numFmtId="164" fontId="16" fillId="0" borderId="62" xfId="74" applyNumberFormat="1" applyFont="1" applyFill="1" applyBorder="1" applyAlignment="1">
      <alignment vertical="center"/>
      <protection/>
    </xf>
    <xf numFmtId="164" fontId="23" fillId="0" borderId="16" xfId="0" applyNumberFormat="1" applyFont="1" applyFill="1" applyBorder="1" applyAlignment="1">
      <alignment horizontal="center" vertical="center" wrapText="1"/>
    </xf>
    <xf numFmtId="49" fontId="9" fillId="0" borderId="10" xfId="83" applyNumberFormat="1" applyFont="1" applyBorder="1" applyAlignment="1">
      <alignment horizontal="center" vertical="center"/>
      <protection/>
    </xf>
    <xf numFmtId="49" fontId="9" fillId="0" borderId="10" xfId="87" applyNumberFormat="1" applyFont="1" applyFill="1" applyBorder="1" applyAlignment="1">
      <alignment horizontal="center" vertical="center" wrapText="1"/>
      <protection/>
    </xf>
    <xf numFmtId="164" fontId="11" fillId="0" borderId="10" xfId="87" applyNumberFormat="1" applyFont="1" applyFill="1" applyBorder="1" applyAlignment="1">
      <alignment vertical="center"/>
      <protection/>
    </xf>
    <xf numFmtId="164" fontId="5" fillId="0" borderId="0" xfId="0" applyNumberFormat="1" applyFont="1" applyFill="1" applyAlignment="1">
      <alignment vertical="center"/>
    </xf>
    <xf numFmtId="164" fontId="4" fillId="0" borderId="0" xfId="0" applyNumberFormat="1" applyFont="1" applyFill="1" applyAlignment="1">
      <alignment vertical="center"/>
    </xf>
    <xf numFmtId="164" fontId="5" fillId="0" borderId="51" xfId="0" applyNumberFormat="1" applyFont="1" applyFill="1" applyBorder="1" applyAlignment="1">
      <alignment vertical="center"/>
    </xf>
    <xf numFmtId="1" fontId="5" fillId="0" borderId="25" xfId="0" applyNumberFormat="1" applyFont="1" applyFill="1" applyBorder="1" applyAlignment="1">
      <alignment horizontal="right" vertical="center"/>
    </xf>
    <xf numFmtId="164" fontId="5" fillId="22" borderId="25" xfId="0" applyNumberFormat="1" applyFont="1" applyFill="1" applyBorder="1" applyAlignment="1">
      <alignment horizontal="right" vertical="center"/>
    </xf>
    <xf numFmtId="164" fontId="5" fillId="0" borderId="25" xfId="0" applyNumberFormat="1" applyFont="1" applyFill="1" applyBorder="1" applyAlignment="1">
      <alignment horizontal="right" vertical="center"/>
    </xf>
    <xf numFmtId="164" fontId="5" fillId="0" borderId="25" xfId="0" applyNumberFormat="1" applyFont="1" applyFill="1" applyBorder="1" applyAlignment="1">
      <alignment horizontal="center" vertical="center"/>
    </xf>
    <xf numFmtId="164" fontId="5" fillId="0" borderId="52" xfId="0" applyNumberFormat="1" applyFont="1" applyFill="1" applyBorder="1" applyAlignment="1">
      <alignment horizontal="right" vertical="center"/>
    </xf>
    <xf numFmtId="164" fontId="5" fillId="0" borderId="12" xfId="0" applyNumberFormat="1" applyFont="1" applyFill="1" applyBorder="1" applyAlignment="1">
      <alignment vertical="center"/>
    </xf>
    <xf numFmtId="164" fontId="4" fillId="0" borderId="10" xfId="0" applyNumberFormat="1" applyFont="1" applyFill="1" applyBorder="1" applyAlignment="1">
      <alignment horizontal="center" vertical="center"/>
    </xf>
    <xf numFmtId="164" fontId="5" fillId="0" borderId="10" xfId="0" applyNumberFormat="1" applyFont="1" applyFill="1" applyBorder="1" applyAlignment="1">
      <alignment horizontal="right" vertical="center"/>
    </xf>
    <xf numFmtId="164" fontId="5" fillId="22" borderId="10" xfId="0" applyNumberFormat="1" applyFont="1" applyFill="1" applyBorder="1" applyAlignment="1">
      <alignment horizontal="right" vertical="center"/>
    </xf>
    <xf numFmtId="164" fontId="5"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164" fontId="5" fillId="0" borderId="10" xfId="0" applyNumberFormat="1" applyFont="1" applyFill="1" applyBorder="1" applyAlignment="1">
      <alignment horizontal="right" vertical="center" wrapText="1"/>
    </xf>
    <xf numFmtId="169" fontId="5" fillId="0" borderId="10" xfId="0" applyNumberFormat="1" applyFont="1" applyFill="1" applyBorder="1" applyAlignment="1">
      <alignment horizontal="right" vertical="center"/>
    </xf>
    <xf numFmtId="169" fontId="5" fillId="0" borderId="10" xfId="0" applyNumberFormat="1" applyFont="1" applyFill="1" applyBorder="1" applyAlignment="1">
      <alignment horizontal="right" vertical="center" wrapText="1"/>
    </xf>
    <xf numFmtId="164" fontId="5" fillId="0" borderId="10" xfId="0" applyNumberFormat="1" applyFont="1" applyFill="1" applyBorder="1" applyAlignment="1">
      <alignment horizontal="center" vertical="center" wrapText="1"/>
    </xf>
    <xf numFmtId="164" fontId="5" fillId="22" borderId="10" xfId="0" applyNumberFormat="1" applyFont="1" applyFill="1" applyBorder="1" applyAlignment="1">
      <alignment horizontal="right" vertical="center" wrapText="1"/>
    </xf>
    <xf numFmtId="170" fontId="5" fillId="0" borderId="10" xfId="0" applyNumberFormat="1" applyFont="1" applyFill="1" applyBorder="1" applyAlignment="1">
      <alignment horizontal="right" vertical="center" wrapText="1"/>
    </xf>
    <xf numFmtId="166" fontId="5" fillId="0" borderId="10" xfId="0" applyNumberFormat="1" applyFont="1" applyFill="1" applyBorder="1" applyAlignment="1">
      <alignment horizontal="right" vertical="center"/>
    </xf>
    <xf numFmtId="164" fontId="5" fillId="0" borderId="56" xfId="0" applyNumberFormat="1" applyFont="1" applyFill="1" applyBorder="1" applyAlignment="1">
      <alignment vertical="center"/>
    </xf>
    <xf numFmtId="164" fontId="4" fillId="0" borderId="26" xfId="0" applyNumberFormat="1" applyFont="1" applyFill="1" applyBorder="1" applyAlignment="1">
      <alignment horizontal="center" vertical="center" wrapText="1"/>
    </xf>
    <xf numFmtId="164" fontId="5" fillId="0" borderId="26" xfId="0" applyNumberFormat="1" applyFont="1" applyFill="1" applyBorder="1" applyAlignment="1">
      <alignment horizontal="right" vertical="center" wrapText="1"/>
    </xf>
    <xf numFmtId="169" fontId="5" fillId="0" borderId="26" xfId="0" applyNumberFormat="1" applyFont="1" applyFill="1" applyBorder="1" applyAlignment="1">
      <alignment horizontal="right" vertical="center" wrapText="1"/>
    </xf>
    <xf numFmtId="164" fontId="5" fillId="0" borderId="26" xfId="0" applyNumberFormat="1" applyFont="1" applyFill="1" applyBorder="1" applyAlignment="1">
      <alignment horizontal="center" vertical="center" wrapText="1"/>
    </xf>
    <xf numFmtId="164" fontId="5" fillId="0" borderId="26" xfId="0" applyNumberFormat="1" applyFont="1" applyFill="1" applyBorder="1" applyAlignment="1">
      <alignment horizontal="right" vertical="center"/>
    </xf>
    <xf numFmtId="164" fontId="5" fillId="0" borderId="59" xfId="0" applyNumberFormat="1" applyFont="1" applyFill="1" applyBorder="1" applyAlignment="1">
      <alignment horizontal="right" vertical="center"/>
    </xf>
    <xf numFmtId="164" fontId="4" fillId="0" borderId="29" xfId="0" applyNumberFormat="1" applyFont="1" applyFill="1" applyBorder="1" applyAlignment="1">
      <alignment horizontal="right" vertical="center"/>
    </xf>
    <xf numFmtId="164" fontId="4" fillId="0" borderId="38" xfId="0" applyNumberFormat="1" applyFont="1" applyFill="1" applyBorder="1" applyAlignment="1">
      <alignment horizontal="right" vertical="center"/>
    </xf>
    <xf numFmtId="164" fontId="5" fillId="0" borderId="51" xfId="0" applyNumberFormat="1" applyFont="1" applyFill="1" applyBorder="1" applyAlignment="1">
      <alignment horizontal="left" vertical="center"/>
    </xf>
    <xf numFmtId="164" fontId="5" fillId="0" borderId="12" xfId="0" applyNumberFormat="1" applyFont="1" applyFill="1" applyBorder="1" applyAlignment="1">
      <alignment horizontal="left" vertical="center"/>
    </xf>
    <xf numFmtId="164" fontId="4" fillId="0" borderId="10" xfId="0" applyNumberFormat="1" applyFont="1" applyFill="1" applyBorder="1" applyAlignment="1">
      <alignment horizontal="right" vertical="center"/>
    </xf>
    <xf numFmtId="164" fontId="4" fillId="0" borderId="10" xfId="0" applyNumberFormat="1" applyFont="1" applyFill="1" applyBorder="1" applyAlignment="1">
      <alignment horizontal="right" vertical="center" wrapText="1"/>
    </xf>
    <xf numFmtId="164" fontId="5" fillId="0" borderId="56" xfId="0" applyNumberFormat="1" applyFont="1" applyFill="1" applyBorder="1" applyAlignment="1">
      <alignment horizontal="left" vertical="center"/>
    </xf>
    <xf numFmtId="164" fontId="5" fillId="22" borderId="26" xfId="0" applyNumberFormat="1" applyFont="1" applyFill="1" applyBorder="1" applyAlignment="1">
      <alignment horizontal="right" vertical="center" wrapText="1"/>
    </xf>
    <xf numFmtId="164" fontId="5" fillId="22" borderId="26" xfId="0" applyNumberFormat="1" applyFont="1" applyFill="1" applyBorder="1" applyAlignment="1">
      <alignment horizontal="right" vertical="center"/>
    </xf>
    <xf numFmtId="164" fontId="4" fillId="22" borderId="39" xfId="0" applyNumberFormat="1" applyFont="1" applyFill="1" applyBorder="1" applyAlignment="1">
      <alignment horizontal="right" vertical="center"/>
    </xf>
    <xf numFmtId="164" fontId="4" fillId="0" borderId="39" xfId="0" applyNumberFormat="1" applyFont="1" applyFill="1" applyBorder="1" applyAlignment="1">
      <alignment horizontal="right" vertical="center"/>
    </xf>
    <xf numFmtId="164" fontId="5" fillId="0" borderId="25" xfId="0" applyNumberFormat="1" applyFont="1" applyFill="1" applyBorder="1" applyAlignment="1">
      <alignment horizontal="center" vertical="center" wrapText="1"/>
    </xf>
    <xf numFmtId="164" fontId="5" fillId="0" borderId="25" xfId="0" applyNumberFormat="1" applyFont="1" applyFill="1" applyBorder="1" applyAlignment="1">
      <alignment horizontal="right" vertical="center" wrapText="1"/>
    </xf>
    <xf numFmtId="164" fontId="5" fillId="22" borderId="25" xfId="0" applyNumberFormat="1" applyFont="1" applyFill="1" applyBorder="1" applyAlignment="1">
      <alignment horizontal="right" vertical="center" wrapText="1"/>
    </xf>
    <xf numFmtId="166" fontId="5" fillId="0" borderId="25" xfId="0" applyNumberFormat="1" applyFont="1" applyFill="1" applyBorder="1" applyAlignment="1">
      <alignment horizontal="right" vertical="center"/>
    </xf>
    <xf numFmtId="164" fontId="5" fillId="0" borderId="39" xfId="0" applyNumberFormat="1" applyFont="1" applyFill="1" applyBorder="1" applyAlignment="1">
      <alignment horizontal="right" vertical="center"/>
    </xf>
    <xf numFmtId="164" fontId="5" fillId="0" borderId="39" xfId="0" applyNumberFormat="1" applyFont="1" applyFill="1" applyBorder="1" applyAlignment="1">
      <alignment horizontal="center" vertical="center" wrapText="1"/>
    </xf>
    <xf numFmtId="164" fontId="5" fillId="22" borderId="39" xfId="0" applyNumberFormat="1" applyFont="1" applyFill="1" applyBorder="1" applyAlignment="1">
      <alignment horizontal="right" vertical="center"/>
    </xf>
    <xf numFmtId="169" fontId="5" fillId="22" borderId="10" xfId="0" applyNumberFormat="1" applyFont="1" applyFill="1" applyBorder="1" applyAlignment="1">
      <alignment horizontal="right" vertical="center"/>
    </xf>
    <xf numFmtId="166" fontId="5" fillId="0" borderId="10" xfId="0" applyNumberFormat="1" applyFont="1" applyFill="1" applyBorder="1" applyAlignment="1">
      <alignment horizontal="right" vertical="center" wrapText="1"/>
    </xf>
    <xf numFmtId="164" fontId="5" fillId="0" borderId="14" xfId="0" applyNumberFormat="1" applyFont="1" applyFill="1" applyBorder="1" applyAlignment="1">
      <alignment horizontal="right" vertical="center" wrapText="1"/>
    </xf>
    <xf numFmtId="169" fontId="5" fillId="22" borderId="25" xfId="0" applyNumberFormat="1" applyFont="1" applyFill="1" applyBorder="1" applyAlignment="1">
      <alignment horizontal="right" vertical="center"/>
    </xf>
    <xf numFmtId="164" fontId="5" fillId="0" borderId="12" xfId="0" applyNumberFormat="1" applyFont="1" applyFill="1" applyBorder="1" applyAlignment="1">
      <alignment vertical="center" wrapText="1"/>
    </xf>
    <xf numFmtId="164" fontId="5" fillId="0" borderId="56" xfId="80" applyNumberFormat="1" applyFont="1" applyFill="1" applyBorder="1" applyAlignment="1">
      <alignment horizontal="left" vertical="center"/>
      <protection/>
    </xf>
    <xf numFmtId="164" fontId="4" fillId="22" borderId="30" xfId="0" applyNumberFormat="1" applyFont="1" applyFill="1" applyBorder="1" applyAlignment="1">
      <alignment horizontal="right" vertical="center"/>
    </xf>
    <xf numFmtId="164" fontId="4" fillId="0" borderId="30" xfId="0" applyNumberFormat="1" applyFont="1" applyFill="1" applyBorder="1" applyAlignment="1">
      <alignment horizontal="right" vertical="center"/>
    </xf>
    <xf numFmtId="164" fontId="5" fillId="0" borderId="51" xfId="0" applyNumberFormat="1" applyFont="1" applyFill="1" applyBorder="1" applyAlignment="1">
      <alignment vertical="center" wrapText="1"/>
    </xf>
    <xf numFmtId="164" fontId="5" fillId="0" borderId="56" xfId="0" applyNumberFormat="1" applyFont="1" applyFill="1" applyBorder="1" applyAlignment="1">
      <alignment vertical="center" wrapText="1"/>
    </xf>
    <xf numFmtId="164" fontId="5" fillId="0" borderId="26" xfId="0" applyNumberFormat="1" applyFont="1" applyFill="1" applyBorder="1" applyAlignment="1">
      <alignment vertical="center"/>
    </xf>
    <xf numFmtId="164" fontId="5" fillId="0" borderId="26" xfId="0" applyNumberFormat="1" applyFont="1" applyFill="1" applyBorder="1" applyAlignment="1">
      <alignment horizontal="center" vertical="center"/>
    </xf>
    <xf numFmtId="169" fontId="5" fillId="0" borderId="25" xfId="0" applyNumberFormat="1" applyFont="1" applyFill="1" applyBorder="1" applyAlignment="1">
      <alignment horizontal="right" vertical="center" wrapText="1"/>
    </xf>
    <xf numFmtId="164" fontId="60" fillId="0" borderId="52" xfId="0" applyNumberFormat="1" applyFont="1" applyFill="1" applyBorder="1" applyAlignment="1">
      <alignment horizontal="right" vertical="center" wrapText="1"/>
    </xf>
    <xf numFmtId="164" fontId="60" fillId="0" borderId="14" xfId="0" applyNumberFormat="1" applyFont="1" applyFill="1" applyBorder="1" applyAlignment="1">
      <alignment horizontal="right" vertical="center" wrapText="1"/>
    </xf>
    <xf numFmtId="164" fontId="4" fillId="0" borderId="39" xfId="0" applyNumberFormat="1" applyFont="1" applyFill="1" applyBorder="1" applyAlignment="1">
      <alignment horizontal="right" vertical="center" wrapText="1"/>
    </xf>
    <xf numFmtId="164" fontId="5" fillId="0" borderId="51" xfId="0" applyNumberFormat="1" applyFont="1" applyFill="1" applyBorder="1" applyAlignment="1">
      <alignment horizontal="left" vertical="center" wrapText="1"/>
    </xf>
    <xf numFmtId="164" fontId="60" fillId="0" borderId="25" xfId="0" applyNumberFormat="1" applyFont="1" applyFill="1" applyBorder="1" applyAlignment="1">
      <alignment horizontal="right" wrapText="1"/>
    </xf>
    <xf numFmtId="164" fontId="5" fillId="0" borderId="56" xfId="0" applyNumberFormat="1" applyFont="1" applyFill="1" applyBorder="1" applyAlignment="1">
      <alignment horizontal="left" vertical="center" wrapText="1"/>
    </xf>
    <xf numFmtId="164" fontId="60" fillId="0" borderId="26" xfId="0" applyNumberFormat="1" applyFont="1" applyFill="1" applyBorder="1" applyAlignment="1">
      <alignment horizontal="right" wrapText="1"/>
    </xf>
    <xf numFmtId="164" fontId="60" fillId="0" borderId="59" xfId="0" applyNumberFormat="1" applyFont="1" applyFill="1" applyBorder="1" applyAlignment="1">
      <alignment horizontal="right" vertical="center" wrapText="1"/>
    </xf>
    <xf numFmtId="164" fontId="61" fillId="0" borderId="38" xfId="0" applyNumberFormat="1" applyFont="1" applyFill="1" applyBorder="1" applyAlignment="1">
      <alignment horizontal="right" vertical="center" wrapText="1"/>
    </xf>
    <xf numFmtId="164" fontId="23" fillId="0" borderId="16" xfId="0" applyNumberFormat="1" applyFont="1" applyFill="1" applyBorder="1" applyAlignment="1">
      <alignment vertical="center"/>
    </xf>
    <xf numFmtId="164" fontId="5" fillId="0" borderId="0" xfId="0" applyNumberFormat="1" applyFont="1" applyFill="1" applyBorder="1" applyAlignment="1">
      <alignment vertical="center" wrapText="1"/>
    </xf>
    <xf numFmtId="164" fontId="4" fillId="0" borderId="0" xfId="0" applyNumberFormat="1" applyFont="1" applyFill="1" applyAlignment="1">
      <alignment horizontal="center" vertical="center" wrapText="1"/>
    </xf>
    <xf numFmtId="164" fontId="5" fillId="0" borderId="0" xfId="0" applyNumberFormat="1" applyFont="1" applyFill="1" applyAlignment="1">
      <alignment horizontal="center" vertical="center" wrapText="1"/>
    </xf>
    <xf numFmtId="164" fontId="4" fillId="0" borderId="63" xfId="0" applyNumberFormat="1" applyFont="1" applyFill="1" applyBorder="1" applyAlignment="1">
      <alignment vertical="center" wrapText="1"/>
    </xf>
    <xf numFmtId="164" fontId="4" fillId="0" borderId="64" xfId="0" applyNumberFormat="1" applyFont="1" applyFill="1" applyBorder="1" applyAlignment="1">
      <alignment horizontal="center" vertical="center" wrapText="1"/>
    </xf>
    <xf numFmtId="164" fontId="4" fillId="0" borderId="65" xfId="0" applyNumberFormat="1" applyFont="1" applyFill="1" applyBorder="1" applyAlignment="1">
      <alignment horizontal="right" vertical="center" wrapText="1"/>
    </xf>
    <xf numFmtId="164" fontId="4" fillId="0" borderId="25" xfId="0" applyNumberFormat="1" applyFont="1" applyFill="1" applyBorder="1" applyAlignment="1">
      <alignment horizontal="center" vertical="center" wrapText="1"/>
    </xf>
    <xf numFmtId="164" fontId="4" fillId="0" borderId="66" xfId="0" applyNumberFormat="1" applyFont="1" applyFill="1" applyBorder="1" applyAlignment="1">
      <alignment horizontal="right" vertical="center" wrapText="1"/>
    </xf>
    <xf numFmtId="164" fontId="4" fillId="0" borderId="67" xfId="0" applyNumberFormat="1" applyFont="1" applyFill="1" applyBorder="1" applyAlignment="1">
      <alignment horizontal="right" vertical="center" wrapText="1"/>
    </xf>
    <xf numFmtId="164" fontId="5" fillId="0" borderId="68" xfId="0" applyNumberFormat="1" applyFont="1" applyFill="1" applyBorder="1" applyAlignment="1">
      <alignment horizontal="left" vertical="center"/>
    </xf>
    <xf numFmtId="164" fontId="4" fillId="0" borderId="69" xfId="0" applyNumberFormat="1" applyFont="1" applyFill="1" applyBorder="1" applyAlignment="1">
      <alignment horizontal="center" vertical="center" wrapText="1"/>
    </xf>
    <xf numFmtId="164" fontId="5" fillId="0" borderId="70" xfId="0" applyNumberFormat="1" applyFont="1" applyFill="1" applyBorder="1" applyAlignment="1">
      <alignment horizontal="right" vertical="center"/>
    </xf>
    <xf numFmtId="164" fontId="5" fillId="0" borderId="43" xfId="0" applyNumberFormat="1" applyFont="1" applyFill="1" applyBorder="1" applyAlignment="1">
      <alignment horizontal="right" vertical="center" wrapText="1"/>
    </xf>
    <xf numFmtId="169" fontId="5" fillId="0" borderId="40" xfId="0" applyNumberFormat="1" applyFont="1" applyFill="1" applyBorder="1" applyAlignment="1">
      <alignment horizontal="right" vertical="center" wrapText="1"/>
    </xf>
    <xf numFmtId="166" fontId="5" fillId="0" borderId="71" xfId="0" applyNumberFormat="1" applyFont="1" applyFill="1" applyBorder="1" applyAlignment="1">
      <alignment vertical="center"/>
    </xf>
    <xf numFmtId="164" fontId="5" fillId="0" borderId="11" xfId="0" applyNumberFormat="1" applyFont="1" applyFill="1" applyBorder="1" applyAlignment="1">
      <alignment horizontal="center" vertical="center" wrapText="1"/>
    </xf>
    <xf numFmtId="164" fontId="5" fillId="0" borderId="70" xfId="0" applyNumberFormat="1" applyFont="1" applyFill="1" applyBorder="1" applyAlignment="1">
      <alignment horizontal="right" vertical="center" wrapText="1"/>
    </xf>
    <xf numFmtId="164" fontId="5" fillId="0" borderId="72" xfId="0" applyNumberFormat="1" applyFont="1" applyFill="1" applyBorder="1" applyAlignment="1">
      <alignment horizontal="right" vertical="center"/>
    </xf>
    <xf numFmtId="164" fontId="4" fillId="0" borderId="60" xfId="0" applyNumberFormat="1" applyFont="1" applyFill="1" applyBorder="1" applyAlignment="1">
      <alignment vertical="center" wrapText="1"/>
    </xf>
    <xf numFmtId="164" fontId="4" fillId="0" borderId="19" xfId="0" applyNumberFormat="1" applyFont="1" applyFill="1" applyBorder="1" applyAlignment="1">
      <alignment horizontal="center" vertical="center" wrapText="1"/>
    </xf>
    <xf numFmtId="164" fontId="4" fillId="0" borderId="41" xfId="0" applyNumberFormat="1" applyFont="1" applyFill="1" applyBorder="1" applyAlignment="1">
      <alignment horizontal="right" vertical="center" wrapText="1"/>
    </xf>
    <xf numFmtId="169" fontId="4" fillId="0" borderId="41" xfId="0" applyNumberFormat="1" applyFont="1" applyFill="1" applyBorder="1" applyAlignment="1">
      <alignment horizontal="right" vertical="center" wrapText="1"/>
    </xf>
    <xf numFmtId="164" fontId="4" fillId="0" borderId="16" xfId="0" applyNumberFormat="1" applyFont="1" applyFill="1" applyBorder="1" applyAlignment="1">
      <alignment horizontal="center" vertical="center" wrapText="1"/>
    </xf>
    <xf numFmtId="164" fontId="4" fillId="0" borderId="73" xfId="0" applyNumberFormat="1" applyFont="1" applyFill="1" applyBorder="1" applyAlignment="1">
      <alignment horizontal="right" vertical="center" wrapText="1"/>
    </xf>
    <xf numFmtId="164" fontId="5" fillId="0" borderId="63" xfId="0" applyNumberFormat="1" applyFont="1" applyFill="1" applyBorder="1" applyAlignment="1">
      <alignment horizontal="left" vertical="center"/>
    </xf>
    <xf numFmtId="164" fontId="5" fillId="0" borderId="65" xfId="0" applyNumberFormat="1" applyFont="1" applyFill="1" applyBorder="1" applyAlignment="1">
      <alignment horizontal="right" vertical="center" wrapText="1"/>
    </xf>
    <xf numFmtId="164" fontId="5" fillId="0" borderId="40" xfId="0" applyNumberFormat="1" applyFont="1" applyFill="1" applyBorder="1" applyAlignment="1">
      <alignment horizontal="right" vertical="center" wrapText="1"/>
    </xf>
    <xf numFmtId="164" fontId="5" fillId="0" borderId="66" xfId="0" applyNumberFormat="1" applyFont="1" applyFill="1" applyBorder="1" applyAlignment="1">
      <alignment horizontal="right" vertical="center" wrapText="1"/>
    </xf>
    <xf numFmtId="164" fontId="5" fillId="0" borderId="74" xfId="0" applyNumberFormat="1" applyFont="1" applyFill="1" applyBorder="1" applyAlignment="1">
      <alignment vertical="center"/>
    </xf>
    <xf numFmtId="164" fontId="5" fillId="0" borderId="75" xfId="0" applyNumberFormat="1" applyFont="1" applyFill="1" applyBorder="1" applyAlignment="1">
      <alignment horizontal="left" vertical="center"/>
    </xf>
    <xf numFmtId="164" fontId="4" fillId="0" borderId="76" xfId="0" applyNumberFormat="1" applyFont="1" applyFill="1" applyBorder="1" applyAlignment="1">
      <alignment horizontal="center" vertical="center" wrapText="1"/>
    </xf>
    <xf numFmtId="164" fontId="5" fillId="0" borderId="42" xfId="0" applyNumberFormat="1" applyFont="1" applyFill="1" applyBorder="1" applyAlignment="1">
      <alignment horizontal="right" vertical="center" wrapText="1"/>
    </xf>
    <xf numFmtId="164" fontId="5" fillId="0" borderId="10" xfId="0" applyNumberFormat="1" applyFont="1" applyFill="1" applyBorder="1" applyAlignment="1">
      <alignment horizontal="center" vertical="center" wrapText="1"/>
    </xf>
    <xf numFmtId="164" fontId="5" fillId="0" borderId="77" xfId="0" applyNumberFormat="1" applyFont="1" applyFill="1" applyBorder="1" applyAlignment="1">
      <alignment horizontal="right" vertical="center" wrapText="1"/>
    </xf>
    <xf numFmtId="164" fontId="5" fillId="0" borderId="78" xfId="0" applyNumberFormat="1" applyFont="1" applyFill="1" applyBorder="1" applyAlignment="1">
      <alignment horizontal="right" vertical="center" wrapText="1"/>
    </xf>
    <xf numFmtId="164" fontId="5" fillId="0" borderId="79" xfId="0" applyNumberFormat="1" applyFont="1" applyFill="1" applyBorder="1" applyAlignment="1">
      <alignment horizontal="left" vertical="center"/>
    </xf>
    <xf numFmtId="164" fontId="4" fillId="0" borderId="80" xfId="0" applyNumberFormat="1" applyFont="1" applyFill="1" applyBorder="1" applyAlignment="1">
      <alignment horizontal="center" vertical="center" wrapText="1"/>
    </xf>
    <xf numFmtId="164" fontId="5" fillId="0" borderId="81" xfId="0" applyNumberFormat="1" applyFont="1" applyFill="1" applyBorder="1" applyAlignment="1">
      <alignment horizontal="left" vertical="center"/>
    </xf>
    <xf numFmtId="164" fontId="4" fillId="0" borderId="82" xfId="0" applyNumberFormat="1" applyFont="1" applyFill="1" applyBorder="1" applyAlignment="1">
      <alignment horizontal="center" vertical="center" wrapText="1"/>
    </xf>
    <xf numFmtId="164" fontId="5" fillId="0" borderId="54" xfId="0" applyNumberFormat="1" applyFont="1" applyFill="1" applyBorder="1" applyAlignment="1">
      <alignment horizontal="right" vertical="center" wrapText="1"/>
    </xf>
    <xf numFmtId="164" fontId="5" fillId="0" borderId="83" xfId="0" applyNumberFormat="1" applyFont="1" applyFill="1" applyBorder="1" applyAlignment="1">
      <alignment horizontal="right" vertical="center" wrapText="1"/>
    </xf>
    <xf numFmtId="164" fontId="4" fillId="0" borderId="84" xfId="0" applyNumberFormat="1" applyFont="1" applyFill="1" applyBorder="1" applyAlignment="1">
      <alignment vertical="center"/>
    </xf>
    <xf numFmtId="164" fontId="5" fillId="0" borderId="0" xfId="0" applyNumberFormat="1" applyFont="1" applyFill="1" applyAlignment="1">
      <alignment vertical="center" wrapText="1"/>
    </xf>
    <xf numFmtId="164" fontId="4" fillId="0" borderId="0" xfId="0" applyNumberFormat="1" applyFont="1" applyFill="1" applyAlignment="1">
      <alignment horizontal="center" vertical="center"/>
    </xf>
    <xf numFmtId="164" fontId="5" fillId="0" borderId="0" xfId="0" applyNumberFormat="1" applyFont="1" applyFill="1" applyAlignment="1">
      <alignment horizontal="center" vertical="center"/>
    </xf>
    <xf numFmtId="164" fontId="11" fillId="0" borderId="10" xfId="64" applyNumberFormat="1" applyFont="1" applyFill="1" applyBorder="1" applyAlignment="1">
      <alignment horizontal="left" vertical="center" wrapText="1" indent="2"/>
      <protection/>
    </xf>
    <xf numFmtId="164" fontId="11" fillId="0" borderId="10" xfId="0" applyNumberFormat="1" applyFont="1" applyFill="1" applyBorder="1" applyAlignment="1">
      <alignment/>
    </xf>
    <xf numFmtId="164" fontId="9" fillId="0" borderId="10" xfId="0" applyNumberFormat="1" applyFont="1" applyFill="1" applyBorder="1" applyAlignment="1">
      <alignment vertical="center"/>
    </xf>
    <xf numFmtId="164" fontId="11" fillId="0" borderId="30" xfId="0" applyNumberFormat="1" applyFont="1" applyBorder="1" applyAlignment="1">
      <alignment vertical="center"/>
    </xf>
    <xf numFmtId="164" fontId="11" fillId="0" borderId="53" xfId="0" applyNumberFormat="1" applyFont="1" applyBorder="1" applyAlignment="1">
      <alignment vertical="center"/>
    </xf>
    <xf numFmtId="164" fontId="11" fillId="0" borderId="25" xfId="0" applyNumberFormat="1" applyFont="1" applyFill="1" applyBorder="1" applyAlignment="1">
      <alignment/>
    </xf>
    <xf numFmtId="164" fontId="11" fillId="0" borderId="11" xfId="0" applyNumberFormat="1" applyFont="1" applyFill="1" applyBorder="1" applyAlignment="1">
      <alignment/>
    </xf>
    <xf numFmtId="164" fontId="11" fillId="0" borderId="25" xfId="0" applyNumberFormat="1" applyFont="1" applyFill="1" applyBorder="1" applyAlignment="1">
      <alignment horizontal="left" indent="2"/>
    </xf>
    <xf numFmtId="164" fontId="11" fillId="0" borderId="10" xfId="0" applyNumberFormat="1" applyFont="1" applyFill="1" applyBorder="1" applyAlignment="1">
      <alignment horizontal="left" indent="2"/>
    </xf>
    <xf numFmtId="49" fontId="11" fillId="0" borderId="0" xfId="0" applyNumberFormat="1" applyFont="1" applyFill="1" applyBorder="1" applyAlignment="1">
      <alignment horizontal="right"/>
    </xf>
    <xf numFmtId="164" fontId="5" fillId="0" borderId="14" xfId="40" applyNumberFormat="1" applyFont="1" applyFill="1" applyBorder="1" applyAlignment="1">
      <alignment vertical="center"/>
    </xf>
    <xf numFmtId="164" fontId="5" fillId="0" borderId="15" xfId="40" applyNumberFormat="1" applyFont="1" applyFill="1" applyBorder="1" applyAlignment="1">
      <alignment vertical="center"/>
    </xf>
    <xf numFmtId="164" fontId="9" fillId="0" borderId="0" xfId="60" applyNumberFormat="1" applyFont="1" applyFill="1" applyAlignment="1">
      <alignment vertical="center"/>
      <protection/>
    </xf>
    <xf numFmtId="3" fontId="35" fillId="0" borderId="13" xfId="68" applyNumberFormat="1" applyFont="1" applyFill="1" applyBorder="1" applyAlignment="1">
      <alignment horizontal="right" vertical="center"/>
      <protection/>
    </xf>
    <xf numFmtId="164" fontId="24" fillId="0" borderId="50" xfId="65" applyNumberFormat="1" applyFont="1" applyFill="1" applyBorder="1" applyAlignment="1">
      <alignment horizontal="left" vertical="center"/>
      <protection/>
    </xf>
    <xf numFmtId="164" fontId="24" fillId="0" borderId="12" xfId="65" applyNumberFormat="1" applyFont="1" applyFill="1" applyBorder="1" applyAlignment="1">
      <alignment horizontal="left" vertical="center"/>
      <protection/>
    </xf>
    <xf numFmtId="164" fontId="24" fillId="0" borderId="49" xfId="65" applyNumberFormat="1" applyFont="1" applyFill="1" applyBorder="1" applyAlignment="1">
      <alignment horizontal="left" vertical="center"/>
      <protection/>
    </xf>
    <xf numFmtId="164" fontId="24" fillId="0" borderId="85" xfId="65" applyNumberFormat="1" applyFont="1" applyFill="1" applyBorder="1" applyAlignment="1">
      <alignment horizontal="left" vertical="center"/>
      <protection/>
    </xf>
    <xf numFmtId="164" fontId="24" fillId="0" borderId="12" xfId="65" applyNumberFormat="1" applyFont="1" applyFill="1" applyBorder="1" applyAlignment="1">
      <alignment horizontal="left" vertical="center" wrapText="1"/>
      <protection/>
    </xf>
    <xf numFmtId="164" fontId="24" fillId="0" borderId="48" xfId="65" applyNumberFormat="1" applyFont="1" applyFill="1" applyBorder="1" applyAlignment="1">
      <alignment horizontal="left" vertical="center"/>
      <protection/>
    </xf>
    <xf numFmtId="164" fontId="24" fillId="0" borderId="86" xfId="65" applyNumberFormat="1" applyFont="1" applyFill="1" applyBorder="1" applyAlignment="1">
      <alignment horizontal="left" vertical="center"/>
      <protection/>
    </xf>
    <xf numFmtId="49" fontId="11" fillId="0" borderId="51" xfId="68" applyNumberFormat="1" applyFont="1" applyFill="1" applyBorder="1" applyAlignment="1">
      <alignment horizontal="left" vertical="center" wrapText="1"/>
      <protection/>
    </xf>
    <xf numFmtId="49" fontId="11" fillId="0" borderId="12" xfId="68" applyNumberFormat="1" applyFont="1" applyFill="1" applyBorder="1" applyAlignment="1">
      <alignment horizontal="left" vertical="center" wrapText="1"/>
      <protection/>
    </xf>
    <xf numFmtId="49" fontId="11" fillId="0" borderId="56" xfId="68" applyNumberFormat="1" applyFont="1" applyFill="1" applyBorder="1" applyAlignment="1">
      <alignment horizontal="left" vertical="center" wrapText="1"/>
      <protection/>
    </xf>
    <xf numFmtId="164" fontId="11" fillId="0" borderId="56" xfId="68" applyNumberFormat="1" applyFont="1" applyFill="1" applyBorder="1" applyAlignment="1">
      <alignment horizontal="left" vertical="center" wrapText="1"/>
      <protection/>
    </xf>
    <xf numFmtId="49" fontId="11" fillId="0" borderId="17" xfId="68" applyNumberFormat="1" applyFont="1" applyFill="1" applyBorder="1" applyAlignment="1">
      <alignment horizontal="left" vertical="center" wrapText="1"/>
      <protection/>
    </xf>
    <xf numFmtId="3" fontId="11" fillId="0" borderId="52" xfId="68" applyNumberFormat="1" applyFont="1" applyFill="1" applyBorder="1" applyAlignment="1">
      <alignment horizontal="right" vertical="center"/>
      <protection/>
    </xf>
    <xf numFmtId="3" fontId="11" fillId="0" borderId="14" xfId="68" applyNumberFormat="1" applyFont="1" applyFill="1" applyBorder="1" applyAlignment="1">
      <alignment horizontal="right" vertical="center"/>
      <protection/>
    </xf>
    <xf numFmtId="3" fontId="62" fillId="0" borderId="13" xfId="68" applyNumberFormat="1" applyFont="1" applyFill="1" applyBorder="1" applyAlignment="1">
      <alignment horizontal="right" vertical="center"/>
      <protection/>
    </xf>
    <xf numFmtId="0" fontId="11" fillId="0" borderId="10" xfId="81" applyFont="1" applyFill="1" applyBorder="1" applyAlignment="1">
      <alignment horizontal="justify" vertical="center" wrapText="1"/>
      <protection/>
    </xf>
    <xf numFmtId="3" fontId="11" fillId="0" borderId="10" xfId="81" applyNumberFormat="1" applyFont="1" applyFill="1" applyBorder="1" applyAlignment="1">
      <alignment horizontal="right" vertical="center" wrapText="1"/>
      <protection/>
    </xf>
    <xf numFmtId="3" fontId="24" fillId="0" borderId="10" xfId="81" applyNumberFormat="1" applyFont="1" applyFill="1" applyBorder="1" applyAlignment="1">
      <alignment horizontal="justify" vertical="center" wrapText="1"/>
      <protection/>
    </xf>
    <xf numFmtId="3" fontId="11" fillId="0" borderId="10" xfId="81" applyNumberFormat="1" applyFont="1" applyFill="1" applyBorder="1" applyAlignment="1">
      <alignment horizontal="right" vertical="center" wrapText="1"/>
      <protection/>
    </xf>
    <xf numFmtId="3" fontId="24" fillId="0" borderId="23" xfId="81" applyNumberFormat="1" applyFont="1" applyFill="1" applyBorder="1" applyAlignment="1">
      <alignment horizontal="justify" vertical="center" wrapText="1"/>
      <protection/>
    </xf>
    <xf numFmtId="3" fontId="24" fillId="0" borderId="23" xfId="81" applyNumberFormat="1" applyFont="1" applyFill="1" applyBorder="1" applyAlignment="1">
      <alignment horizontal="right" vertical="center" wrapText="1"/>
      <protection/>
    </xf>
    <xf numFmtId="49" fontId="11" fillId="0" borderId="50" xfId="68" applyNumberFormat="1" applyFont="1" applyFill="1" applyBorder="1" applyAlignment="1">
      <alignment horizontal="left" vertical="center" wrapText="1"/>
      <protection/>
    </xf>
    <xf numFmtId="0" fontId="24" fillId="0" borderId="10" xfId="81" applyFont="1" applyFill="1" applyBorder="1" applyAlignment="1">
      <alignment horizontal="justify" vertical="center" wrapText="1"/>
      <protection/>
    </xf>
    <xf numFmtId="3" fontId="24" fillId="0" borderId="10" xfId="81" applyNumberFormat="1" applyFont="1" applyFill="1" applyBorder="1" applyAlignment="1">
      <alignment horizontal="right" vertical="center" wrapText="1"/>
      <protection/>
    </xf>
    <xf numFmtId="0" fontId="11" fillId="0" borderId="23" xfId="81" applyFont="1" applyFill="1" applyBorder="1" applyAlignment="1">
      <alignment vertical="center" wrapText="1"/>
      <protection/>
    </xf>
    <xf numFmtId="0" fontId="11" fillId="0" borderId="10" xfId="81" applyFont="1" applyFill="1" applyBorder="1" applyAlignment="1">
      <alignment vertical="center" wrapText="1"/>
      <protection/>
    </xf>
    <xf numFmtId="164" fontId="24" fillId="0" borderId="10" xfId="60" applyNumberFormat="1" applyFont="1" applyFill="1" applyBorder="1" applyAlignment="1">
      <alignment vertical="center" wrapText="1"/>
      <protection/>
    </xf>
    <xf numFmtId="3" fontId="24" fillId="0" borderId="10" xfId="81" applyNumberFormat="1" applyFont="1" applyFill="1" applyBorder="1" applyAlignment="1">
      <alignment horizontal="justify" vertical="center" wrapText="1"/>
      <protection/>
    </xf>
    <xf numFmtId="164" fontId="11" fillId="0" borderId="50" xfId="60" applyNumberFormat="1" applyFont="1" applyFill="1" applyBorder="1" applyAlignment="1">
      <alignment vertical="center" wrapText="1"/>
      <protection/>
    </xf>
    <xf numFmtId="3" fontId="11" fillId="0" borderId="58" xfId="81" applyNumberFormat="1" applyFont="1" applyFill="1" applyBorder="1" applyAlignment="1">
      <alignment horizontal="justify" vertical="center" wrapText="1"/>
      <protection/>
    </xf>
    <xf numFmtId="0" fontId="11" fillId="0" borderId="25" xfId="81" applyFont="1" applyFill="1" applyBorder="1" applyAlignment="1">
      <alignment horizontal="justify" vertical="center" wrapText="1"/>
      <protection/>
    </xf>
    <xf numFmtId="0" fontId="24" fillId="0" borderId="10" xfId="81" applyNumberFormat="1" applyFont="1" applyFill="1" applyBorder="1" applyAlignment="1">
      <alignment horizontal="justify" vertical="center" wrapText="1"/>
      <protection/>
    </xf>
    <xf numFmtId="3" fontId="24" fillId="0" borderId="10" xfId="85" applyNumberFormat="1" applyFont="1" applyFill="1" applyBorder="1" applyAlignment="1">
      <alignment horizontal="right" vertical="center" wrapText="1"/>
      <protection/>
    </xf>
    <xf numFmtId="0" fontId="11" fillId="0" borderId="10" xfId="86" applyFont="1" applyFill="1" applyBorder="1" applyAlignment="1">
      <alignment horizontal="justify" vertical="center" wrapText="1"/>
      <protection/>
    </xf>
    <xf numFmtId="3" fontId="11" fillId="0" borderId="10" xfId="86" applyNumberFormat="1" applyFont="1" applyFill="1" applyBorder="1" applyAlignment="1">
      <alignment horizontal="right" vertical="center" wrapText="1"/>
      <protection/>
    </xf>
    <xf numFmtId="49" fontId="11" fillId="0" borderId="0" xfId="68" applyNumberFormat="1" applyFont="1" applyFill="1" applyBorder="1" applyAlignment="1">
      <alignment horizontal="left" vertical="center" wrapText="1"/>
      <protection/>
    </xf>
    <xf numFmtId="3" fontId="11" fillId="0" borderId="0" xfId="68" applyNumberFormat="1" applyFont="1" applyFill="1" applyBorder="1" applyAlignment="1">
      <alignment horizontal="right" vertical="center" wrapText="1"/>
      <protection/>
    </xf>
    <xf numFmtId="3" fontId="11" fillId="0" borderId="25" xfId="81" applyNumberFormat="1" applyFont="1" applyFill="1" applyBorder="1" applyAlignment="1">
      <alignment horizontal="justify" vertical="center" wrapText="1"/>
      <protection/>
    </xf>
    <xf numFmtId="3" fontId="11" fillId="0" borderId="25" xfId="81" applyNumberFormat="1" applyFont="1" applyFill="1" applyBorder="1" applyAlignment="1">
      <alignment horizontal="right" vertical="center"/>
      <protection/>
    </xf>
    <xf numFmtId="0" fontId="24" fillId="0" borderId="10" xfId="81" applyFont="1" applyFill="1" applyBorder="1" applyAlignment="1">
      <alignment horizontal="justify" vertical="center" wrapText="1"/>
      <protection/>
    </xf>
    <xf numFmtId="3" fontId="24" fillId="0" borderId="10" xfId="81" applyNumberFormat="1" applyFont="1" applyFill="1" applyBorder="1" applyAlignment="1">
      <alignment horizontal="right" vertical="center" wrapText="1"/>
      <protection/>
    </xf>
    <xf numFmtId="164" fontId="11" fillId="0" borderId="12" xfId="60" applyNumberFormat="1" applyFont="1" applyFill="1" applyBorder="1" applyAlignment="1">
      <alignment horizontal="left" vertical="center" wrapText="1"/>
      <protection/>
    </xf>
    <xf numFmtId="0" fontId="11" fillId="0" borderId="12" xfId="77" applyFont="1" applyFill="1" applyBorder="1" applyAlignment="1">
      <alignment horizontal="left" vertical="center" wrapText="1"/>
      <protection/>
    </xf>
    <xf numFmtId="0" fontId="11" fillId="0" borderId="12" xfId="68" applyFont="1" applyFill="1" applyBorder="1" applyAlignment="1">
      <alignment horizontal="left" vertical="center" wrapText="1"/>
      <protection/>
    </xf>
    <xf numFmtId="49" fontId="11" fillId="0" borderId="87" xfId="68" applyNumberFormat="1" applyFont="1" applyFill="1" applyBorder="1" applyAlignment="1">
      <alignment horizontal="left" vertical="center" wrapText="1"/>
      <protection/>
    </xf>
    <xf numFmtId="0" fontId="11" fillId="0" borderId="12" xfId="77" applyFont="1" applyFill="1" applyBorder="1" applyAlignment="1">
      <alignment vertical="center" wrapText="1"/>
      <protection/>
    </xf>
    <xf numFmtId="0" fontId="24" fillId="0" borderId="12" xfId="67" applyFont="1" applyFill="1" applyBorder="1" applyAlignment="1" applyProtection="1">
      <alignment vertical="center" wrapText="1"/>
      <protection locked="0"/>
    </xf>
    <xf numFmtId="49" fontId="23" fillId="0" borderId="51" xfId="68" applyNumberFormat="1" applyFont="1" applyFill="1" applyBorder="1" applyAlignment="1">
      <alignment horizontal="left" vertical="center" wrapText="1"/>
      <protection/>
    </xf>
    <xf numFmtId="49" fontId="11" fillId="0" borderId="0" xfId="68" applyNumberFormat="1" applyFont="1" applyFill="1" applyBorder="1" applyAlignment="1">
      <alignment vertical="center" wrapText="1"/>
      <protection/>
    </xf>
    <xf numFmtId="49" fontId="11" fillId="0" borderId="24" xfId="68" applyNumberFormat="1" applyFont="1" applyFill="1" applyBorder="1" applyAlignment="1">
      <alignment horizontal="left" vertical="center" wrapText="1"/>
      <protection/>
    </xf>
    <xf numFmtId="49" fontId="11" fillId="0" borderId="12" xfId="64" applyNumberFormat="1" applyFont="1" applyFill="1" applyBorder="1" applyAlignment="1">
      <alignment horizontal="left" vertical="center" wrapText="1"/>
      <protection/>
    </xf>
    <xf numFmtId="49" fontId="11" fillId="0" borderId="56" xfId="64" applyNumberFormat="1" applyFont="1" applyFill="1" applyBorder="1" applyAlignment="1">
      <alignment horizontal="left" vertical="center" wrapText="1"/>
      <protection/>
    </xf>
    <xf numFmtId="164" fontId="24" fillId="0" borderId="12" xfId="84" applyNumberFormat="1" applyFont="1" applyFill="1" applyBorder="1" applyAlignment="1">
      <alignment horizontal="left" vertical="center" wrapText="1"/>
      <protection/>
    </xf>
    <xf numFmtId="49" fontId="11" fillId="0" borderId="50" xfId="64" applyNumberFormat="1" applyFont="1" applyFill="1" applyBorder="1" applyAlignment="1">
      <alignment horizontal="left" vertical="center" wrapText="1"/>
      <protection/>
    </xf>
    <xf numFmtId="3" fontId="11" fillId="0" borderId="42" xfId="0" applyNumberFormat="1" applyFont="1" applyFill="1" applyBorder="1" applyAlignment="1">
      <alignment horizontal="right" vertical="center" wrapText="1"/>
    </xf>
    <xf numFmtId="3" fontId="11" fillId="0" borderId="40" xfId="0" applyNumberFormat="1" applyFont="1" applyFill="1" applyBorder="1" applyAlignment="1">
      <alignment horizontal="right" vertical="center" wrapText="1"/>
    </xf>
    <xf numFmtId="3" fontId="11" fillId="0" borderId="10" xfId="0" applyNumberFormat="1" applyFont="1" applyFill="1" applyBorder="1" applyAlignment="1">
      <alignment horizontal="right" vertical="center" wrapText="1"/>
    </xf>
    <xf numFmtId="164" fontId="24" fillId="0" borderId="58" xfId="0" applyNumberFormat="1" applyFont="1" applyFill="1" applyBorder="1" applyAlignment="1" applyProtection="1">
      <alignment vertical="center" wrapText="1"/>
      <protection locked="0"/>
    </xf>
    <xf numFmtId="164" fontId="24" fillId="0" borderId="23" xfId="0" applyNumberFormat="1" applyFont="1" applyFill="1" applyBorder="1" applyAlignment="1" applyProtection="1">
      <alignment vertical="center" wrapText="1"/>
      <protection locked="0"/>
    </xf>
    <xf numFmtId="164" fontId="24" fillId="0" borderId="58" xfId="64" applyNumberFormat="1" applyFont="1" applyFill="1" applyBorder="1" applyAlignment="1" applyProtection="1">
      <alignment vertical="center" wrapText="1"/>
      <protection locked="0"/>
    </xf>
    <xf numFmtId="164" fontId="24" fillId="0" borderId="10" xfId="64" applyNumberFormat="1" applyFont="1" applyFill="1" applyBorder="1" applyAlignment="1" applyProtection="1">
      <alignment vertical="center" wrapText="1"/>
      <protection locked="0"/>
    </xf>
    <xf numFmtId="3" fontId="11" fillId="0" borderId="25" xfId="64" applyNumberFormat="1" applyFont="1" applyFill="1" applyBorder="1" applyAlignment="1">
      <alignment horizontal="right" vertical="center" wrapText="1"/>
      <protection/>
    </xf>
    <xf numFmtId="164" fontId="24" fillId="0" borderId="10" xfId="89" applyNumberFormat="1" applyFont="1" applyFill="1" applyBorder="1" applyAlignment="1" applyProtection="1">
      <alignment horizontal="justify" vertical="center" wrapText="1"/>
      <protection locked="0"/>
    </xf>
    <xf numFmtId="3" fontId="11" fillId="0" borderId="10" xfId="0" applyNumberFormat="1" applyFont="1" applyFill="1" applyBorder="1" applyAlignment="1">
      <alignment horizontal="right" vertical="center"/>
    </xf>
    <xf numFmtId="49" fontId="11" fillId="0" borderId="12" xfId="0" applyNumberFormat="1" applyFont="1" applyFill="1" applyBorder="1" applyAlignment="1">
      <alignment horizontal="left" vertical="center" wrapText="1"/>
    </xf>
    <xf numFmtId="49" fontId="11" fillId="0" borderId="85" xfId="64" applyNumberFormat="1" applyFont="1" applyFill="1" applyBorder="1" applyAlignment="1">
      <alignment horizontal="left" vertical="center" wrapText="1"/>
      <protection/>
    </xf>
    <xf numFmtId="3" fontId="11" fillId="0" borderId="88" xfId="81" applyNumberFormat="1" applyFont="1" applyFill="1" applyBorder="1" applyAlignment="1">
      <alignment horizontal="justify" vertical="center" wrapText="1"/>
      <protection/>
    </xf>
    <xf numFmtId="0" fontId="11" fillId="0" borderId="89" xfId="0" applyFont="1" applyFill="1" applyBorder="1" applyAlignment="1">
      <alignment vertical="center" wrapText="1"/>
    </xf>
    <xf numFmtId="3" fontId="11" fillId="0" borderId="11" xfId="0" applyNumberFormat="1" applyFont="1" applyFill="1" applyBorder="1" applyAlignment="1">
      <alignment horizontal="right" vertical="center" wrapText="1"/>
    </xf>
    <xf numFmtId="3" fontId="11" fillId="0" borderId="25" xfId="0" applyNumberFormat="1" applyFont="1" applyFill="1" applyBorder="1" applyAlignment="1">
      <alignment horizontal="right" vertical="center" wrapText="1"/>
    </xf>
    <xf numFmtId="49" fontId="11" fillId="0" borderId="49" xfId="64" applyNumberFormat="1" applyFont="1" applyFill="1" applyBorder="1" applyAlignment="1">
      <alignment horizontal="left" vertical="center" wrapText="1"/>
      <protection/>
    </xf>
    <xf numFmtId="49" fontId="11" fillId="0" borderId="56" xfId="0" applyNumberFormat="1" applyFont="1" applyFill="1" applyBorder="1" applyAlignment="1">
      <alignment horizontal="left" vertical="center" wrapText="1"/>
    </xf>
    <xf numFmtId="3" fontId="11" fillId="0" borderId="90" xfId="64" applyNumberFormat="1" applyFont="1" applyFill="1" applyBorder="1" applyAlignment="1">
      <alignment horizontal="right" vertical="center"/>
      <protection/>
    </xf>
    <xf numFmtId="3" fontId="11" fillId="0" borderId="14" xfId="64" applyNumberFormat="1" applyFont="1" applyFill="1" applyBorder="1" applyAlignment="1">
      <alignment horizontal="right" vertical="center"/>
      <protection/>
    </xf>
    <xf numFmtId="3" fontId="11" fillId="0" borderId="14" xfId="0" applyNumberFormat="1" applyFont="1" applyFill="1" applyBorder="1" applyAlignment="1">
      <alignment horizontal="right" vertical="center"/>
    </xf>
    <xf numFmtId="3" fontId="11" fillId="0" borderId="59" xfId="64" applyNumberFormat="1" applyFont="1" applyFill="1" applyBorder="1" applyAlignment="1">
      <alignment horizontal="right" vertical="center"/>
      <protection/>
    </xf>
    <xf numFmtId="3" fontId="11" fillId="0" borderId="90" xfId="0" applyNumberFormat="1" applyFont="1" applyFill="1" applyBorder="1" applyAlignment="1">
      <alignment horizontal="right" vertical="center"/>
    </xf>
    <xf numFmtId="3" fontId="11" fillId="0" borderId="21" xfId="64" applyNumberFormat="1" applyFont="1" applyFill="1" applyBorder="1" applyAlignment="1">
      <alignment horizontal="right" vertical="center"/>
      <protection/>
    </xf>
    <xf numFmtId="3" fontId="11" fillId="0" borderId="52" xfId="0" applyNumberFormat="1" applyFont="1" applyFill="1" applyBorder="1" applyAlignment="1">
      <alignment vertical="center"/>
    </xf>
    <xf numFmtId="3" fontId="11" fillId="0" borderId="15" xfId="0" applyNumberFormat="1" applyFont="1" applyFill="1" applyBorder="1" applyAlignment="1">
      <alignment vertical="center"/>
    </xf>
    <xf numFmtId="0" fontId="11" fillId="0" borderId="0" xfId="64" applyFont="1" applyFill="1" applyAlignment="1">
      <alignment vertical="center"/>
      <protection/>
    </xf>
    <xf numFmtId="3" fontId="11" fillId="0" borderId="23" xfId="81" applyNumberFormat="1" applyFont="1" applyFill="1" applyBorder="1" applyAlignment="1">
      <alignment horizontal="justify" vertical="center" wrapText="1"/>
      <protection/>
    </xf>
    <xf numFmtId="3" fontId="11" fillId="0" borderId="23" xfId="81" applyNumberFormat="1" applyFont="1" applyFill="1" applyBorder="1" applyAlignment="1">
      <alignment horizontal="right" vertical="center"/>
      <protection/>
    </xf>
    <xf numFmtId="3" fontId="24" fillId="0" borderId="10" xfId="82" applyNumberFormat="1" applyFont="1" applyFill="1" applyBorder="1" applyAlignment="1" applyProtection="1">
      <alignment horizontal="right" vertical="center"/>
      <protection/>
    </xf>
    <xf numFmtId="3" fontId="24" fillId="0" borderId="26" xfId="82" applyNumberFormat="1" applyFont="1" applyFill="1" applyBorder="1" applyAlignment="1" applyProtection="1">
      <alignment horizontal="right" vertical="center"/>
      <protection/>
    </xf>
    <xf numFmtId="3" fontId="24" fillId="0" borderId="14" xfId="66" applyNumberFormat="1" applyFont="1" applyFill="1" applyBorder="1" applyAlignment="1" applyProtection="1">
      <alignment vertical="center"/>
      <protection locked="0"/>
    </xf>
    <xf numFmtId="3" fontId="24" fillId="0" borderId="15" xfId="66" applyNumberFormat="1" applyFont="1" applyFill="1" applyBorder="1" applyAlignment="1" applyProtection="1">
      <alignment vertical="center"/>
      <protection locked="0"/>
    </xf>
    <xf numFmtId="0" fontId="19" fillId="0" borderId="0" xfId="75" applyFont="1" applyFill="1">
      <alignment/>
      <protection/>
    </xf>
    <xf numFmtId="164" fontId="23" fillId="0" borderId="0" xfId="73" applyNumberFormat="1" applyFont="1" applyFill="1" applyAlignment="1">
      <alignment/>
      <protection/>
    </xf>
    <xf numFmtId="164" fontId="19" fillId="0" borderId="0" xfId="74" applyNumberFormat="1" applyFont="1" applyFill="1" applyAlignment="1">
      <alignment vertical="center"/>
      <protection/>
    </xf>
    <xf numFmtId="164" fontId="19" fillId="0" borderId="0" xfId="74" applyNumberFormat="1" applyFont="1" applyFill="1" applyAlignment="1">
      <alignment vertical="center"/>
      <protection/>
    </xf>
    <xf numFmtId="164" fontId="19" fillId="0" borderId="0" xfId="74" applyNumberFormat="1" applyFont="1" applyFill="1" applyBorder="1" applyAlignment="1">
      <alignment vertical="center"/>
      <protection/>
    </xf>
    <xf numFmtId="164" fontId="19" fillId="0" borderId="12" xfId="71" applyNumberFormat="1" applyFont="1" applyFill="1" applyBorder="1" applyAlignment="1">
      <alignment vertical="center" wrapText="1" shrinkToFit="1"/>
      <protection/>
    </xf>
    <xf numFmtId="164" fontId="19" fillId="0" borderId="12" xfId="61" applyNumberFormat="1" applyFont="1" applyFill="1" applyBorder="1" applyAlignment="1">
      <alignment horizontal="left" vertical="center" wrapText="1"/>
      <protection/>
    </xf>
    <xf numFmtId="164" fontId="19" fillId="0" borderId="10" xfId="74" applyNumberFormat="1" applyFont="1" applyFill="1" applyBorder="1" applyAlignment="1">
      <alignment vertical="center"/>
      <protection/>
    </xf>
    <xf numFmtId="164" fontId="19" fillId="0" borderId="22" xfId="84" applyNumberFormat="1" applyFont="1" applyFill="1" applyBorder="1" applyAlignment="1">
      <alignment horizontal="left" vertical="center" wrapText="1"/>
      <protection/>
    </xf>
    <xf numFmtId="164" fontId="19" fillId="0" borderId="12" xfId="0" applyNumberFormat="1" applyFont="1" applyFill="1" applyBorder="1" applyAlignment="1">
      <alignment horizontal="left" vertical="center" wrapText="1"/>
    </xf>
    <xf numFmtId="164" fontId="19" fillId="0" borderId="12" xfId="71" applyNumberFormat="1" applyFont="1" applyFill="1" applyBorder="1" applyAlignment="1">
      <alignment vertical="center"/>
      <protection/>
    </xf>
    <xf numFmtId="164" fontId="19" fillId="0" borderId="12" xfId="84" applyNumberFormat="1" applyFont="1" applyFill="1" applyBorder="1" applyAlignment="1">
      <alignment horizontal="left" vertical="center" wrapText="1"/>
      <protection/>
    </xf>
    <xf numFmtId="164" fontId="19" fillId="0" borderId="22" xfId="80" applyNumberFormat="1" applyFont="1" applyFill="1" applyBorder="1" applyAlignment="1">
      <alignment horizontal="left" vertical="center" wrapText="1"/>
      <protection/>
    </xf>
    <xf numFmtId="164" fontId="19" fillId="0" borderId="12" xfId="71" applyNumberFormat="1" applyFont="1" applyFill="1" applyBorder="1" applyAlignment="1">
      <alignment vertical="center" wrapText="1"/>
      <protection/>
    </xf>
    <xf numFmtId="164" fontId="19" fillId="0" borderId="12" xfId="0" applyNumberFormat="1" applyFont="1" applyFill="1" applyBorder="1" applyAlignment="1">
      <alignment vertical="center" wrapText="1"/>
    </xf>
    <xf numFmtId="164" fontId="19" fillId="0" borderId="24" xfId="61" applyNumberFormat="1" applyFont="1" applyFill="1" applyBorder="1" applyAlignment="1">
      <alignment horizontal="left" vertical="center" wrapText="1"/>
      <protection/>
    </xf>
    <xf numFmtId="164" fontId="19" fillId="0" borderId="11" xfId="74" applyNumberFormat="1" applyFont="1" applyFill="1" applyBorder="1" applyAlignment="1">
      <alignment vertical="center"/>
      <protection/>
    </xf>
    <xf numFmtId="164" fontId="23" fillId="0" borderId="16" xfId="74" applyNumberFormat="1" applyFont="1" applyFill="1" applyBorder="1" applyAlignment="1">
      <alignment vertical="center"/>
      <protection/>
    </xf>
    <xf numFmtId="164" fontId="23" fillId="0" borderId="17" xfId="61" applyNumberFormat="1" applyFont="1" applyFill="1" applyBorder="1" applyAlignment="1">
      <alignment horizontal="left" vertical="center" wrapText="1"/>
      <protection/>
    </xf>
    <xf numFmtId="164" fontId="19" fillId="0" borderId="58" xfId="74" applyNumberFormat="1" applyFont="1" applyFill="1" applyBorder="1" applyAlignment="1">
      <alignment vertical="center"/>
      <protection/>
    </xf>
    <xf numFmtId="164" fontId="19" fillId="0" borderId="89" xfId="74" applyNumberFormat="1" applyFont="1" applyFill="1" applyBorder="1" applyAlignment="1">
      <alignment vertical="center"/>
      <protection/>
    </xf>
    <xf numFmtId="164" fontId="23" fillId="0" borderId="91" xfId="74" applyNumberFormat="1" applyFont="1" applyFill="1" applyBorder="1" applyAlignment="1">
      <alignment vertical="center"/>
      <protection/>
    </xf>
    <xf numFmtId="164" fontId="23" fillId="0" borderId="14" xfId="74" applyNumberFormat="1" applyFont="1" applyFill="1" applyBorder="1" applyAlignment="1">
      <alignment vertical="center"/>
      <protection/>
    </xf>
    <xf numFmtId="164" fontId="23" fillId="0" borderId="15" xfId="74" applyNumberFormat="1" applyFont="1" applyFill="1" applyBorder="1" applyAlignment="1">
      <alignment vertical="center"/>
      <protection/>
    </xf>
    <xf numFmtId="164" fontId="23" fillId="0" borderId="13" xfId="74" applyNumberFormat="1" applyFont="1" applyFill="1" applyBorder="1" applyAlignment="1">
      <alignment vertical="center"/>
      <protection/>
    </xf>
    <xf numFmtId="164" fontId="9" fillId="0" borderId="0" xfId="0" applyNumberFormat="1" applyFont="1" applyFill="1" applyAlignment="1">
      <alignment horizontal="center" vertical="center"/>
    </xf>
    <xf numFmtId="164" fontId="11" fillId="0" borderId="0" xfId="62" applyNumberFormat="1" applyFont="1" applyFill="1" applyAlignment="1">
      <alignment vertical="center"/>
      <protection/>
    </xf>
    <xf numFmtId="3" fontId="11" fillId="0" borderId="38" xfId="60" applyNumberFormat="1" applyFont="1" applyFill="1" applyBorder="1" applyAlignment="1">
      <alignment vertical="center"/>
      <protection/>
    </xf>
    <xf numFmtId="164" fontId="11" fillId="0" borderId="0" xfId="62" applyNumberFormat="1" applyFont="1" applyFill="1" applyAlignment="1">
      <alignment horizontal="right" vertical="center"/>
      <protection/>
    </xf>
    <xf numFmtId="164" fontId="11" fillId="0" borderId="42" xfId="0" applyNumberFormat="1" applyFont="1" applyFill="1" applyBorder="1" applyAlignment="1">
      <alignment vertical="center"/>
    </xf>
    <xf numFmtId="164" fontId="11" fillId="0" borderId="24" xfId="68" applyNumberFormat="1" applyFont="1" applyFill="1" applyBorder="1" applyAlignment="1">
      <alignment horizontal="left" vertical="center" wrapText="1"/>
      <protection/>
    </xf>
    <xf numFmtId="3" fontId="11" fillId="0" borderId="15" xfId="68" applyNumberFormat="1" applyFont="1" applyFill="1" applyBorder="1" applyAlignment="1">
      <alignment horizontal="right" vertical="center"/>
      <protection/>
    </xf>
    <xf numFmtId="3" fontId="11" fillId="0" borderId="59" xfId="68" applyNumberFormat="1" applyFont="1" applyFill="1" applyBorder="1" applyAlignment="1">
      <alignment horizontal="right" vertical="center"/>
      <protection/>
    </xf>
    <xf numFmtId="3" fontId="3" fillId="0" borderId="12" xfId="66" applyNumberFormat="1" applyFont="1" applyFill="1" applyBorder="1" applyAlignment="1" applyProtection="1">
      <alignment horizontal="left" vertical="center" wrapText="1"/>
      <protection locked="0"/>
    </xf>
    <xf numFmtId="3" fontId="3" fillId="0" borderId="51" xfId="66" applyNumberFormat="1" applyFont="1" applyFill="1" applyBorder="1" applyAlignment="1">
      <alignment horizontal="left" vertical="center" wrapText="1"/>
      <protection/>
    </xf>
    <xf numFmtId="164" fontId="11" fillId="0" borderId="12" xfId="61" applyNumberFormat="1" applyFont="1" applyFill="1" applyBorder="1" applyAlignment="1">
      <alignment horizontal="left" vertical="center" wrapText="1"/>
      <protection/>
    </xf>
    <xf numFmtId="164" fontId="11" fillId="0" borderId="12" xfId="0" applyNumberFormat="1" applyFont="1" applyFill="1" applyBorder="1" applyAlignment="1">
      <alignment horizontal="left" vertical="center" wrapText="1"/>
    </xf>
    <xf numFmtId="164" fontId="11" fillId="0" borderId="24" xfId="61" applyNumberFormat="1" applyFont="1" applyFill="1" applyBorder="1" applyAlignment="1">
      <alignment horizontal="left" vertical="center" wrapText="1"/>
      <protection/>
    </xf>
    <xf numFmtId="0" fontId="9" fillId="0" borderId="0" xfId="0" applyFont="1" applyFill="1" applyAlignment="1">
      <alignment horizontal="center" vertical="center"/>
    </xf>
    <xf numFmtId="0" fontId="9" fillId="0" borderId="17" xfId="0" applyFont="1" applyFill="1" applyBorder="1" applyAlignment="1">
      <alignment horizontal="center" vertical="center"/>
    </xf>
    <xf numFmtId="164" fontId="11" fillId="0" borderId="0" xfId="0" applyNumberFormat="1" applyFont="1" applyFill="1" applyAlignment="1">
      <alignment horizontal="right" vertical="center"/>
    </xf>
    <xf numFmtId="164" fontId="9" fillId="0" borderId="0" xfId="0" applyNumberFormat="1" applyFont="1" applyFill="1" applyAlignment="1">
      <alignment vertical="center"/>
    </xf>
    <xf numFmtId="164" fontId="15" fillId="0" borderId="10" xfId="66" applyNumberFormat="1" applyFont="1" applyFill="1" applyBorder="1" applyAlignment="1" applyProtection="1">
      <alignment horizontal="left" vertical="center" wrapText="1"/>
      <protection locked="0"/>
    </xf>
    <xf numFmtId="0" fontId="5" fillId="0" borderId="48" xfId="60" applyFont="1" applyFill="1" applyBorder="1" applyAlignment="1">
      <alignment horizontal="center" vertical="center"/>
      <protection/>
    </xf>
    <xf numFmtId="164" fontId="5" fillId="0" borderId="38" xfId="60" applyNumberFormat="1" applyFont="1" applyFill="1" applyBorder="1" applyAlignment="1">
      <alignment vertical="center"/>
      <protection/>
    </xf>
    <xf numFmtId="49" fontId="11" fillId="0" borderId="11" xfId="0" applyNumberFormat="1" applyFont="1" applyFill="1" applyBorder="1" applyAlignment="1">
      <alignment horizontal="left" vertical="center" indent="2"/>
    </xf>
    <xf numFmtId="49" fontId="11" fillId="0" borderId="23" xfId="0" applyNumberFormat="1" applyFont="1" applyFill="1" applyBorder="1" applyAlignment="1">
      <alignment horizontal="left" vertical="center" indent="2"/>
    </xf>
    <xf numFmtId="164" fontId="3" fillId="0" borderId="0" xfId="58" applyNumberFormat="1" applyFont="1" applyAlignment="1">
      <alignment vertical="center"/>
      <protection/>
    </xf>
    <xf numFmtId="164" fontId="30" fillId="0" borderId="0" xfId="58" applyNumberFormat="1" applyFont="1" applyAlignment="1">
      <alignment horizontal="right" vertical="center"/>
      <protection/>
    </xf>
    <xf numFmtId="164" fontId="31" fillId="0" borderId="0" xfId="58" applyNumberFormat="1" applyFont="1" applyAlignment="1">
      <alignment horizontal="center" vertical="center"/>
      <protection/>
    </xf>
    <xf numFmtId="164" fontId="3" fillId="0" borderId="0" xfId="58" applyNumberFormat="1" applyFont="1" applyBorder="1" applyAlignment="1">
      <alignment vertical="center"/>
      <protection/>
    </xf>
    <xf numFmtId="164" fontId="32" fillId="0" borderId="0" xfId="58" applyNumberFormat="1" applyFont="1" applyBorder="1" applyAlignment="1">
      <alignment horizontal="right" vertical="center"/>
      <protection/>
    </xf>
    <xf numFmtId="164" fontId="18" fillId="0" borderId="0" xfId="58" applyNumberFormat="1" applyFont="1" applyBorder="1" applyAlignment="1">
      <alignment vertical="center"/>
      <protection/>
    </xf>
    <xf numFmtId="164" fontId="18" fillId="0" borderId="0" xfId="58" applyNumberFormat="1" applyFont="1" applyAlignment="1">
      <alignment vertical="center"/>
      <protection/>
    </xf>
    <xf numFmtId="164" fontId="18" fillId="0" borderId="56" xfId="58" applyNumberFormat="1" applyFont="1" applyBorder="1" applyAlignment="1">
      <alignment horizontal="center" vertical="center"/>
      <protection/>
    </xf>
    <xf numFmtId="164" fontId="18" fillId="0" borderId="26" xfId="58" applyNumberFormat="1" applyFont="1" applyBorder="1" applyAlignment="1">
      <alignment horizontal="center" vertical="center"/>
      <protection/>
    </xf>
    <xf numFmtId="164" fontId="12" fillId="0" borderId="59" xfId="58" applyNumberFormat="1" applyFont="1" applyBorder="1" applyAlignment="1">
      <alignment horizontal="center" vertical="center" wrapText="1"/>
      <protection/>
    </xf>
    <xf numFmtId="164" fontId="18" fillId="0" borderId="92" xfId="58" applyNumberFormat="1" applyFont="1" applyBorder="1" applyAlignment="1">
      <alignment horizontal="center" vertical="center"/>
      <protection/>
    </xf>
    <xf numFmtId="164" fontId="18" fillId="0" borderId="93" xfId="58" applyNumberFormat="1" applyFont="1" applyBorder="1" applyAlignment="1">
      <alignment horizontal="center" vertical="center"/>
      <protection/>
    </xf>
    <xf numFmtId="164" fontId="18" fillId="0" borderId="59" xfId="58" applyNumberFormat="1" applyFont="1" applyBorder="1" applyAlignment="1">
      <alignment horizontal="center" vertical="center"/>
      <protection/>
    </xf>
    <xf numFmtId="164" fontId="18" fillId="0" borderId="17" xfId="58" applyNumberFormat="1" applyFont="1" applyBorder="1" applyAlignment="1">
      <alignment vertical="center"/>
      <protection/>
    </xf>
    <xf numFmtId="164" fontId="18" fillId="0" borderId="16" xfId="58" applyNumberFormat="1" applyFont="1" applyBorder="1" applyAlignment="1">
      <alignment horizontal="left" vertical="center"/>
      <protection/>
    </xf>
    <xf numFmtId="164" fontId="18" fillId="0" borderId="94" xfId="58" applyNumberFormat="1" applyFont="1" applyBorder="1" applyAlignment="1">
      <alignment vertical="center"/>
      <protection/>
    </xf>
    <xf numFmtId="164" fontId="18" fillId="0" borderId="16" xfId="58" applyNumberFormat="1" applyFont="1" applyBorder="1" applyAlignment="1">
      <alignment vertical="center"/>
      <protection/>
    </xf>
    <xf numFmtId="164" fontId="18" fillId="0" borderId="95" xfId="58" applyNumberFormat="1" applyFont="1" applyBorder="1" applyAlignment="1">
      <alignment vertical="center"/>
      <protection/>
    </xf>
    <xf numFmtId="164" fontId="18" fillId="0" borderId="13" xfId="58" applyNumberFormat="1" applyFont="1" applyBorder="1" applyAlignment="1">
      <alignment vertical="center"/>
      <protection/>
    </xf>
    <xf numFmtId="14" fontId="18" fillId="0" borderId="96" xfId="58" applyNumberFormat="1" applyFont="1" applyBorder="1" applyAlignment="1">
      <alignment vertical="center"/>
      <protection/>
    </xf>
    <xf numFmtId="164" fontId="3" fillId="0" borderId="97" xfId="58" applyNumberFormat="1" applyFont="1" applyBorder="1" applyAlignment="1">
      <alignment vertical="center"/>
      <protection/>
    </xf>
    <xf numFmtId="164" fontId="3" fillId="0" borderId="71" xfId="58" applyNumberFormat="1" applyFont="1" applyFill="1" applyBorder="1" applyAlignment="1">
      <alignment vertical="center"/>
      <protection/>
    </xf>
    <xf numFmtId="2" fontId="3" fillId="0" borderId="98" xfId="58" applyNumberFormat="1" applyFont="1" applyBorder="1" applyAlignment="1">
      <alignment horizontal="center" vertical="center"/>
      <protection/>
    </xf>
    <xf numFmtId="164" fontId="3" fillId="0" borderId="99" xfId="58" applyNumberFormat="1" applyFont="1" applyBorder="1" applyAlignment="1">
      <alignment vertical="center"/>
      <protection/>
    </xf>
    <xf numFmtId="164" fontId="3" fillId="0" borderId="71" xfId="58" applyNumberFormat="1" applyFont="1" applyBorder="1" applyAlignment="1">
      <alignment vertical="center"/>
      <protection/>
    </xf>
    <xf numFmtId="164" fontId="18" fillId="0" borderId="100" xfId="58" applyNumberFormat="1" applyFont="1" applyFill="1" applyBorder="1" applyAlignment="1">
      <alignment vertical="center"/>
      <protection/>
    </xf>
    <xf numFmtId="164" fontId="18" fillId="0" borderId="98" xfId="58" applyNumberFormat="1" applyFont="1" applyBorder="1" applyAlignment="1">
      <alignment vertical="center"/>
      <protection/>
    </xf>
    <xf numFmtId="164" fontId="18" fillId="0" borderId="100" xfId="58" applyNumberFormat="1" applyFont="1" applyBorder="1" applyAlignment="1">
      <alignment vertical="center"/>
      <protection/>
    </xf>
    <xf numFmtId="164" fontId="3" fillId="0" borderId="97" xfId="58" applyNumberFormat="1" applyFont="1" applyBorder="1" applyAlignment="1">
      <alignment horizontal="center" vertical="center"/>
      <protection/>
    </xf>
    <xf numFmtId="164" fontId="3" fillId="0" borderId="71" xfId="58" applyNumberFormat="1" applyFont="1" applyBorder="1" applyAlignment="1">
      <alignment horizontal="center" vertical="center"/>
      <protection/>
    </xf>
    <xf numFmtId="164" fontId="3" fillId="0" borderId="99" xfId="58" applyNumberFormat="1" applyFont="1" applyBorder="1" applyAlignment="1">
      <alignment horizontal="center" vertical="center"/>
      <protection/>
    </xf>
    <xf numFmtId="164" fontId="18" fillId="0" borderId="99" xfId="58" applyNumberFormat="1" applyFont="1" applyBorder="1" applyAlignment="1">
      <alignment vertical="center"/>
      <protection/>
    </xf>
    <xf numFmtId="164" fontId="18" fillId="0" borderId="71" xfId="58" applyNumberFormat="1" applyFont="1" applyBorder="1" applyAlignment="1">
      <alignment vertical="center"/>
      <protection/>
    </xf>
    <xf numFmtId="164" fontId="18" fillId="0" borderId="97" xfId="58" applyNumberFormat="1" applyFont="1" applyBorder="1" applyAlignment="1">
      <alignment vertical="center"/>
      <protection/>
    </xf>
    <xf numFmtId="14" fontId="3" fillId="0" borderId="101" xfId="58" applyNumberFormat="1" applyFont="1" applyBorder="1" applyAlignment="1">
      <alignment horizontal="center" vertical="center"/>
      <protection/>
    </xf>
    <xf numFmtId="164" fontId="3" fillId="0" borderId="12" xfId="58" applyNumberFormat="1" applyFont="1" applyBorder="1" applyAlignment="1">
      <alignment vertical="center"/>
      <protection/>
    </xf>
    <xf numFmtId="164" fontId="3" fillId="0" borderId="10" xfId="58" applyNumberFormat="1" applyFont="1" applyFill="1" applyBorder="1" applyAlignment="1">
      <alignment horizontal="left" vertical="center"/>
      <protection/>
    </xf>
    <xf numFmtId="2" fontId="3" fillId="0" borderId="14" xfId="58" applyNumberFormat="1" applyFont="1" applyBorder="1" applyAlignment="1">
      <alignment horizontal="center" vertical="center"/>
      <protection/>
    </xf>
    <xf numFmtId="164" fontId="3" fillId="0" borderId="102" xfId="58" applyNumberFormat="1" applyFont="1" applyBorder="1" applyAlignment="1">
      <alignment vertical="center"/>
      <protection/>
    </xf>
    <xf numFmtId="164" fontId="3" fillId="0" borderId="10" xfId="58" applyNumberFormat="1" applyFont="1" applyBorder="1" applyAlignment="1">
      <alignment vertical="center"/>
      <protection/>
    </xf>
    <xf numFmtId="164" fontId="18" fillId="0" borderId="103" xfId="58" applyNumberFormat="1" applyFont="1" applyFill="1" applyBorder="1" applyAlignment="1">
      <alignment vertical="center"/>
      <protection/>
    </xf>
    <xf numFmtId="164" fontId="18" fillId="0" borderId="14" xfId="58" applyNumberFormat="1" applyFont="1" applyBorder="1" applyAlignment="1">
      <alignment vertical="center"/>
      <protection/>
    </xf>
    <xf numFmtId="164" fontId="18" fillId="0" borderId="103" xfId="58" applyNumberFormat="1" applyFont="1" applyBorder="1" applyAlignment="1">
      <alignment vertical="center"/>
      <protection/>
    </xf>
    <xf numFmtId="164" fontId="3" fillId="0" borderId="12" xfId="58" applyNumberFormat="1" applyFont="1" applyBorder="1" applyAlignment="1">
      <alignment vertical="center"/>
      <protection/>
    </xf>
    <xf numFmtId="164" fontId="3" fillId="0" borderId="10" xfId="58" applyNumberFormat="1" applyFont="1" applyBorder="1" applyAlignment="1">
      <alignment vertical="center"/>
      <protection/>
    </xf>
    <xf numFmtId="164" fontId="3" fillId="0" borderId="102" xfId="58" applyNumberFormat="1" applyFont="1" applyBorder="1" applyAlignment="1">
      <alignment vertical="center"/>
      <protection/>
    </xf>
    <xf numFmtId="164" fontId="18" fillId="0" borderId="102" xfId="58" applyNumberFormat="1" applyFont="1" applyBorder="1" applyAlignment="1">
      <alignment vertical="center"/>
      <protection/>
    </xf>
    <xf numFmtId="164" fontId="18" fillId="0" borderId="10" xfId="58" applyNumberFormat="1" applyFont="1" applyBorder="1" applyAlignment="1">
      <alignment vertical="center"/>
      <protection/>
    </xf>
    <xf numFmtId="164" fontId="18" fillId="0" borderId="12" xfId="58" applyNumberFormat="1" applyFont="1" applyBorder="1" applyAlignment="1">
      <alignment vertical="center"/>
      <protection/>
    </xf>
    <xf numFmtId="14" fontId="3" fillId="0" borderId="104" xfId="58" applyNumberFormat="1" applyFont="1" applyBorder="1" applyAlignment="1">
      <alignment horizontal="center" vertical="center"/>
      <protection/>
    </xf>
    <xf numFmtId="164" fontId="3" fillId="0" borderId="10" xfId="58" applyNumberFormat="1" applyFont="1" applyFill="1" applyBorder="1" applyAlignment="1">
      <alignment vertical="center"/>
      <protection/>
    </xf>
    <xf numFmtId="164" fontId="18" fillId="0" borderId="12" xfId="58" applyNumberFormat="1" applyFont="1" applyBorder="1" applyAlignment="1">
      <alignment horizontal="center" vertical="center"/>
      <protection/>
    </xf>
    <xf numFmtId="164" fontId="18" fillId="0" borderId="12" xfId="58" applyNumberFormat="1" applyFont="1" applyFill="1" applyBorder="1" applyAlignment="1">
      <alignment horizontal="center" vertical="center"/>
      <protection/>
    </xf>
    <xf numFmtId="2" fontId="3" fillId="0" borderId="14" xfId="58" applyNumberFormat="1" applyFont="1" applyFill="1" applyBorder="1" applyAlignment="1">
      <alignment horizontal="center" vertical="center"/>
      <protection/>
    </xf>
    <xf numFmtId="164" fontId="3" fillId="0" borderId="12" xfId="58" applyNumberFormat="1" applyFont="1" applyFill="1" applyBorder="1" applyAlignment="1">
      <alignment vertical="center"/>
      <protection/>
    </xf>
    <xf numFmtId="164" fontId="3" fillId="0" borderId="102" xfId="58" applyNumberFormat="1" applyFont="1" applyFill="1" applyBorder="1" applyAlignment="1">
      <alignment vertical="center"/>
      <protection/>
    </xf>
    <xf numFmtId="164" fontId="3" fillId="0" borderId="10" xfId="58" applyNumberFormat="1" applyFont="1" applyFill="1" applyBorder="1" applyAlignment="1">
      <alignment vertical="center"/>
      <protection/>
    </xf>
    <xf numFmtId="164" fontId="18" fillId="0" borderId="105" xfId="58" applyNumberFormat="1" applyFont="1" applyFill="1" applyBorder="1" applyAlignment="1">
      <alignment horizontal="center" vertical="center"/>
      <protection/>
    </xf>
    <xf numFmtId="164" fontId="3" fillId="0" borderId="106" xfId="58" applyNumberFormat="1" applyFont="1" applyFill="1" applyBorder="1" applyAlignment="1">
      <alignment vertical="center"/>
      <protection/>
    </xf>
    <xf numFmtId="2" fontId="3" fillId="0" borderId="107" xfId="58" applyNumberFormat="1" applyFont="1" applyFill="1" applyBorder="1" applyAlignment="1">
      <alignment horizontal="center" vertical="center"/>
      <protection/>
    </xf>
    <xf numFmtId="164" fontId="3" fillId="0" borderId="108" xfId="58" applyNumberFormat="1" applyFont="1" applyBorder="1" applyAlignment="1">
      <alignment vertical="center"/>
      <protection/>
    </xf>
    <xf numFmtId="164" fontId="3" fillId="0" borderId="106" xfId="58" applyNumberFormat="1" applyFont="1" applyBorder="1" applyAlignment="1">
      <alignment vertical="center"/>
      <protection/>
    </xf>
    <xf numFmtId="164" fontId="18" fillId="0" borderId="109" xfId="58" applyNumberFormat="1" applyFont="1" applyFill="1" applyBorder="1" applyAlignment="1">
      <alignment vertical="center"/>
      <protection/>
    </xf>
    <xf numFmtId="164" fontId="3" fillId="0" borderId="105" xfId="58" applyNumberFormat="1" applyFont="1" applyFill="1" applyBorder="1" applyAlignment="1">
      <alignment vertical="center"/>
      <protection/>
    </xf>
    <xf numFmtId="164" fontId="18" fillId="0" borderId="107" xfId="58" applyNumberFormat="1" applyFont="1" applyBorder="1" applyAlignment="1">
      <alignment vertical="center"/>
      <protection/>
    </xf>
    <xf numFmtId="164" fontId="18" fillId="0" borderId="109" xfId="58" applyNumberFormat="1" applyFont="1" applyBorder="1" applyAlignment="1">
      <alignment vertical="center"/>
      <protection/>
    </xf>
    <xf numFmtId="164" fontId="3" fillId="0" borderId="105" xfId="58" applyNumberFormat="1" applyFont="1" applyBorder="1" applyAlignment="1">
      <alignment vertical="center"/>
      <protection/>
    </xf>
    <xf numFmtId="164" fontId="3" fillId="0" borderId="106" xfId="58" applyNumberFormat="1" applyFont="1" applyBorder="1" applyAlignment="1">
      <alignment vertical="center"/>
      <protection/>
    </xf>
    <xf numFmtId="164" fontId="3" fillId="0" borderId="108" xfId="58" applyNumberFormat="1" applyFont="1" applyBorder="1" applyAlignment="1">
      <alignment vertical="center"/>
      <protection/>
    </xf>
    <xf numFmtId="164" fontId="18" fillId="0" borderId="105" xfId="58" applyNumberFormat="1" applyFont="1" applyBorder="1" applyAlignment="1">
      <alignment vertical="center"/>
      <protection/>
    </xf>
    <xf numFmtId="164" fontId="18" fillId="0" borderId="106" xfId="58" applyNumberFormat="1" applyFont="1" applyBorder="1" applyAlignment="1">
      <alignment vertical="center"/>
      <protection/>
    </xf>
    <xf numFmtId="164" fontId="18" fillId="0" borderId="108" xfId="58" applyNumberFormat="1" applyFont="1" applyBorder="1" applyAlignment="1">
      <alignment vertical="center"/>
      <protection/>
    </xf>
    <xf numFmtId="14" fontId="3" fillId="0" borderId="110" xfId="58" applyNumberFormat="1" applyFont="1" applyBorder="1" applyAlignment="1">
      <alignment horizontal="center" vertical="center"/>
      <protection/>
    </xf>
    <xf numFmtId="164" fontId="18" fillId="0" borderId="17" xfId="58" applyNumberFormat="1" applyFont="1" applyFill="1" applyBorder="1" applyAlignment="1">
      <alignment horizontal="center" vertical="center"/>
      <protection/>
    </xf>
    <xf numFmtId="164" fontId="18" fillId="0" borderId="16" xfId="58" applyNumberFormat="1" applyFont="1" applyFill="1" applyBorder="1" applyAlignment="1">
      <alignment vertical="center"/>
      <protection/>
    </xf>
    <xf numFmtId="2" fontId="3" fillId="0" borderId="13" xfId="58" applyNumberFormat="1" applyFont="1" applyFill="1" applyBorder="1" applyAlignment="1">
      <alignment horizontal="center" vertical="center"/>
      <protection/>
    </xf>
    <xf numFmtId="164" fontId="18" fillId="0" borderId="94" xfId="58" applyNumberFormat="1" applyFont="1" applyBorder="1" applyAlignment="1">
      <alignment vertical="center"/>
      <protection/>
    </xf>
    <xf numFmtId="164" fontId="18" fillId="0" borderId="16" xfId="58" applyNumberFormat="1" applyFont="1" applyBorder="1" applyAlignment="1">
      <alignment vertical="center"/>
      <protection/>
    </xf>
    <xf numFmtId="164" fontId="18" fillId="0" borderId="13" xfId="58" applyNumberFormat="1" applyFont="1" applyBorder="1" applyAlignment="1">
      <alignment vertical="center"/>
      <protection/>
    </xf>
    <xf numFmtId="164" fontId="18" fillId="0" borderId="95" xfId="58" applyNumberFormat="1" applyFont="1" applyBorder="1" applyAlignment="1">
      <alignment vertical="center"/>
      <protection/>
    </xf>
    <xf numFmtId="164" fontId="18" fillId="0" borderId="17" xfId="58" applyNumberFormat="1" applyFont="1" applyBorder="1" applyAlignment="1">
      <alignment vertical="center"/>
      <protection/>
    </xf>
    <xf numFmtId="14" fontId="3" fillId="0" borderId="111" xfId="58" applyNumberFormat="1" applyFont="1" applyBorder="1" applyAlignment="1">
      <alignment horizontal="center" vertical="center"/>
      <protection/>
    </xf>
    <xf numFmtId="164" fontId="18" fillId="0" borderId="17" xfId="58" applyNumberFormat="1" applyFont="1" applyBorder="1" applyAlignment="1">
      <alignment horizontal="center" vertical="center"/>
      <protection/>
    </xf>
    <xf numFmtId="164" fontId="67" fillId="0" borderId="13" xfId="58" applyNumberFormat="1" applyFont="1" applyBorder="1" applyAlignment="1">
      <alignment horizontal="left" vertical="center"/>
      <protection/>
    </xf>
    <xf numFmtId="164" fontId="18" fillId="0" borderId="95" xfId="58" applyNumberFormat="1" applyFont="1" applyFill="1" applyBorder="1" applyAlignment="1">
      <alignment vertical="center"/>
      <protection/>
    </xf>
    <xf numFmtId="14" fontId="18" fillId="0" borderId="96" xfId="58" applyNumberFormat="1" applyFont="1" applyBorder="1" applyAlignment="1">
      <alignment horizontal="center" vertical="center"/>
      <protection/>
    </xf>
    <xf numFmtId="164" fontId="3" fillId="0" borderId="0" xfId="58" applyNumberFormat="1" applyFont="1" applyFill="1" applyAlignment="1">
      <alignment vertical="center"/>
      <protection/>
    </xf>
    <xf numFmtId="164" fontId="3" fillId="0" borderId="97" xfId="58" applyNumberFormat="1" applyFont="1" applyFill="1" applyBorder="1" applyAlignment="1">
      <alignment vertical="center"/>
      <protection/>
    </xf>
    <xf numFmtId="172" fontId="3" fillId="0" borderId="98" xfId="58" applyNumberFormat="1" applyFont="1" applyBorder="1" applyAlignment="1">
      <alignment horizontal="center" vertical="center"/>
      <protection/>
    </xf>
    <xf numFmtId="164" fontId="18" fillId="0" borderId="98" xfId="58" applyNumberFormat="1" applyFont="1" applyFill="1" applyBorder="1" applyAlignment="1">
      <alignment vertical="center"/>
      <protection/>
    </xf>
    <xf numFmtId="164" fontId="3" fillId="0" borderId="99" xfId="58" applyNumberFormat="1" applyFont="1" applyFill="1" applyBorder="1" applyAlignment="1">
      <alignment vertical="center"/>
      <protection/>
    </xf>
    <xf numFmtId="164" fontId="3" fillId="0" borderId="97" xfId="58" applyNumberFormat="1" applyFont="1" applyFill="1" applyBorder="1" applyAlignment="1">
      <alignment horizontal="center" vertical="center"/>
      <protection/>
    </xf>
    <xf numFmtId="164" fontId="3" fillId="0" borderId="71" xfId="58" applyNumberFormat="1" applyFont="1" applyFill="1" applyBorder="1" applyAlignment="1">
      <alignment horizontal="right" vertical="center"/>
      <protection/>
    </xf>
    <xf numFmtId="164" fontId="3" fillId="0" borderId="99" xfId="58" applyNumberFormat="1" applyFont="1" applyFill="1" applyBorder="1" applyAlignment="1">
      <alignment horizontal="center" vertical="center"/>
      <protection/>
    </xf>
    <xf numFmtId="164" fontId="18" fillId="0" borderId="99" xfId="58" applyNumberFormat="1" applyFont="1" applyFill="1" applyBorder="1" applyAlignment="1">
      <alignment vertical="center"/>
      <protection/>
    </xf>
    <xf numFmtId="164" fontId="18" fillId="0" borderId="71" xfId="58" applyNumberFormat="1" applyFont="1" applyFill="1" applyBorder="1" applyAlignment="1">
      <alignment vertical="center"/>
      <protection/>
    </xf>
    <xf numFmtId="164" fontId="18" fillId="0" borderId="97" xfId="58" applyNumberFormat="1" applyFont="1" applyFill="1" applyBorder="1" applyAlignment="1">
      <alignment vertical="center"/>
      <protection/>
    </xf>
    <xf numFmtId="14" fontId="3" fillId="0" borderId="101" xfId="58" applyNumberFormat="1" applyFont="1" applyFill="1" applyBorder="1" applyAlignment="1">
      <alignment horizontal="center" vertical="center"/>
      <protection/>
    </xf>
    <xf numFmtId="164" fontId="18" fillId="0" borderId="14" xfId="58" applyNumberFormat="1" applyFont="1" applyFill="1" applyBorder="1" applyAlignment="1">
      <alignment vertical="center"/>
      <protection/>
    </xf>
    <xf numFmtId="164" fontId="3" fillId="0" borderId="12" xfId="58" applyNumberFormat="1" applyFont="1" applyFill="1" applyBorder="1" applyAlignment="1">
      <alignment horizontal="center" vertical="center"/>
      <protection/>
    </xf>
    <xf numFmtId="164" fontId="3" fillId="0" borderId="10" xfId="58" applyNumberFormat="1" applyFont="1" applyFill="1" applyBorder="1" applyAlignment="1">
      <alignment horizontal="right" vertical="center"/>
      <protection/>
    </xf>
    <xf numFmtId="164" fontId="3" fillId="0" borderId="102" xfId="58" applyNumberFormat="1" applyFont="1" applyFill="1" applyBorder="1" applyAlignment="1">
      <alignment horizontal="center" vertical="center"/>
      <protection/>
    </xf>
    <xf numFmtId="164" fontId="18" fillId="0" borderId="102" xfId="58" applyNumberFormat="1" applyFont="1" applyFill="1" applyBorder="1" applyAlignment="1">
      <alignment vertical="center"/>
      <protection/>
    </xf>
    <xf numFmtId="164" fontId="18" fillId="0" borderId="10" xfId="58" applyNumberFormat="1" applyFont="1" applyFill="1" applyBorder="1" applyAlignment="1">
      <alignment vertical="center"/>
      <protection/>
    </xf>
    <xf numFmtId="164" fontId="18" fillId="0" borderId="12" xfId="58" applyNumberFormat="1" applyFont="1" applyFill="1" applyBorder="1" applyAlignment="1">
      <alignment vertical="center"/>
      <protection/>
    </xf>
    <xf numFmtId="14" fontId="3" fillId="0" borderId="104" xfId="58" applyNumberFormat="1" applyFont="1" applyFill="1" applyBorder="1" applyAlignment="1">
      <alignment horizontal="center" vertical="center"/>
      <protection/>
    </xf>
    <xf numFmtId="2" fontId="3" fillId="0" borderId="107" xfId="58" applyNumberFormat="1" applyFont="1" applyBorder="1" applyAlignment="1">
      <alignment horizontal="center" vertical="center"/>
      <protection/>
    </xf>
    <xf numFmtId="164" fontId="18" fillId="0" borderId="107" xfId="58" applyNumberFormat="1" applyFont="1" applyFill="1" applyBorder="1" applyAlignment="1">
      <alignment vertical="center"/>
      <protection/>
    </xf>
    <xf numFmtId="164" fontId="3" fillId="0" borderId="108" xfId="58" applyNumberFormat="1" applyFont="1" applyFill="1" applyBorder="1" applyAlignment="1">
      <alignment vertical="center"/>
      <protection/>
    </xf>
    <xf numFmtId="164" fontId="3" fillId="0" borderId="105" xfId="58" applyNumberFormat="1" applyFont="1" applyFill="1" applyBorder="1" applyAlignment="1">
      <alignment horizontal="center" vertical="center"/>
      <protection/>
    </xf>
    <xf numFmtId="164" fontId="3" fillId="0" borderId="106" xfId="58" applyNumberFormat="1" applyFont="1" applyFill="1" applyBorder="1" applyAlignment="1">
      <alignment horizontal="right" vertical="center"/>
      <protection/>
    </xf>
    <xf numFmtId="164" fontId="3" fillId="0" borderId="108" xfId="58" applyNumberFormat="1" applyFont="1" applyFill="1" applyBorder="1" applyAlignment="1">
      <alignment horizontal="center" vertical="center"/>
      <protection/>
    </xf>
    <xf numFmtId="164" fontId="18" fillId="0" borderId="108" xfId="58" applyNumberFormat="1" applyFont="1" applyFill="1" applyBorder="1" applyAlignment="1">
      <alignment vertical="center"/>
      <protection/>
    </xf>
    <xf numFmtId="164" fontId="18" fillId="0" borderId="106" xfId="58" applyNumberFormat="1" applyFont="1" applyFill="1" applyBorder="1" applyAlignment="1">
      <alignment vertical="center"/>
      <protection/>
    </xf>
    <xf numFmtId="164" fontId="18" fillId="0" borderId="105" xfId="58" applyNumberFormat="1" applyFont="1" applyFill="1" applyBorder="1" applyAlignment="1">
      <alignment vertical="center"/>
      <protection/>
    </xf>
    <xf numFmtId="14" fontId="3" fillId="0" borderId="110" xfId="58" applyNumberFormat="1" applyFont="1" applyFill="1" applyBorder="1" applyAlignment="1">
      <alignment horizontal="center" vertical="center"/>
      <protection/>
    </xf>
    <xf numFmtId="164" fontId="18" fillId="0" borderId="13" xfId="58" applyNumberFormat="1" applyFont="1" applyFill="1" applyBorder="1" applyAlignment="1">
      <alignment vertical="center"/>
      <protection/>
    </xf>
    <xf numFmtId="0" fontId="18" fillId="0" borderId="96" xfId="58" applyNumberFormat="1" applyFont="1" applyBorder="1" applyAlignment="1">
      <alignment vertical="center"/>
      <protection/>
    </xf>
    <xf numFmtId="164" fontId="3" fillId="0" borderId="98" xfId="58" applyNumberFormat="1" applyFont="1" applyFill="1" applyBorder="1" applyAlignment="1">
      <alignment horizontal="center" vertical="center"/>
      <protection/>
    </xf>
    <xf numFmtId="164" fontId="3" fillId="0" borderId="97" xfId="58" applyNumberFormat="1" applyFont="1" applyFill="1" applyBorder="1" applyAlignment="1">
      <alignment horizontal="right" vertical="center"/>
      <protection/>
    </xf>
    <xf numFmtId="164" fontId="18" fillId="0" borderId="98" xfId="58" applyNumberFormat="1" applyFont="1" applyFill="1" applyBorder="1" applyAlignment="1">
      <alignment horizontal="right" vertical="center"/>
      <protection/>
    </xf>
    <xf numFmtId="164" fontId="3" fillId="0" borderId="99" xfId="58" applyNumberFormat="1" applyFont="1" applyFill="1" applyBorder="1" applyAlignment="1">
      <alignment horizontal="right" vertical="center"/>
      <protection/>
    </xf>
    <xf numFmtId="164" fontId="18" fillId="0" borderId="100" xfId="58" applyNumberFormat="1" applyFont="1" applyFill="1" applyBorder="1" applyAlignment="1">
      <alignment horizontal="right" vertical="center"/>
      <protection/>
    </xf>
    <xf numFmtId="164" fontId="3" fillId="0" borderId="97" xfId="58" applyNumberFormat="1" applyFont="1" applyFill="1" applyBorder="1" applyAlignment="1">
      <alignment horizontal="right" vertical="center"/>
      <protection/>
    </xf>
    <xf numFmtId="164" fontId="3" fillId="0" borderId="71" xfId="58" applyNumberFormat="1" applyFont="1" applyFill="1" applyBorder="1" applyAlignment="1">
      <alignment horizontal="right" vertical="center"/>
      <protection/>
    </xf>
    <xf numFmtId="164" fontId="3" fillId="0" borderId="99" xfId="58" applyNumberFormat="1" applyFont="1" applyFill="1" applyBorder="1" applyAlignment="1">
      <alignment horizontal="center" vertical="center"/>
      <protection/>
    </xf>
    <xf numFmtId="164" fontId="3" fillId="0" borderId="71" xfId="58" applyNumberFormat="1" applyFont="1" applyFill="1" applyBorder="1" applyAlignment="1">
      <alignment horizontal="center" vertical="center"/>
      <protection/>
    </xf>
    <xf numFmtId="164" fontId="3" fillId="0" borderId="100" xfId="58" applyNumberFormat="1" applyFont="1" applyFill="1" applyBorder="1" applyAlignment="1">
      <alignment horizontal="center" vertical="center"/>
      <protection/>
    </xf>
    <xf numFmtId="164" fontId="3" fillId="0" borderId="97" xfId="58" applyNumberFormat="1" applyFont="1" applyFill="1" applyBorder="1" applyAlignment="1">
      <alignment horizontal="center" vertical="center"/>
      <protection/>
    </xf>
    <xf numFmtId="164" fontId="3" fillId="0" borderId="71" xfId="58" applyNumberFormat="1" applyFont="1" applyFill="1" applyBorder="1" applyAlignment="1">
      <alignment horizontal="center" vertical="center"/>
      <protection/>
    </xf>
    <xf numFmtId="164" fontId="3" fillId="0" borderId="48" xfId="58" applyNumberFormat="1" applyFont="1" applyFill="1" applyBorder="1" applyAlignment="1">
      <alignment vertical="center"/>
      <protection/>
    </xf>
    <xf numFmtId="164" fontId="3" fillId="0" borderId="23" xfId="0" applyNumberFormat="1" applyFont="1" applyFill="1" applyBorder="1" applyAlignment="1">
      <alignment vertical="center"/>
    </xf>
    <xf numFmtId="164" fontId="3" fillId="0" borderId="38" xfId="0" applyNumberFormat="1" applyFont="1" applyFill="1" applyBorder="1" applyAlignment="1">
      <alignment horizontal="center" vertical="center"/>
    </xf>
    <xf numFmtId="164" fontId="3" fillId="0" borderId="44" xfId="0" applyNumberFormat="1" applyFont="1" applyBorder="1" applyAlignment="1">
      <alignment vertical="center"/>
    </xf>
    <xf numFmtId="164" fontId="3" fillId="0" borderId="48" xfId="58" applyNumberFormat="1" applyFont="1" applyFill="1" applyBorder="1" applyAlignment="1">
      <alignment horizontal="right" vertical="center"/>
      <protection/>
    </xf>
    <xf numFmtId="164" fontId="3" fillId="0" borderId="39" xfId="58" applyNumberFormat="1" applyFont="1" applyFill="1" applyBorder="1" applyAlignment="1">
      <alignment horizontal="right" vertical="center"/>
      <protection/>
    </xf>
    <xf numFmtId="164" fontId="3" fillId="0" borderId="112" xfId="58" applyNumberFormat="1" applyFont="1" applyFill="1" applyBorder="1" applyAlignment="1">
      <alignment horizontal="right" vertical="center"/>
      <protection/>
    </xf>
    <xf numFmtId="164" fontId="3" fillId="0" borderId="48" xfId="58" applyNumberFormat="1" applyFont="1" applyFill="1" applyBorder="1" applyAlignment="1">
      <alignment horizontal="right" vertical="center"/>
      <protection/>
    </xf>
    <xf numFmtId="164" fontId="3" fillId="0" borderId="39" xfId="58" applyNumberFormat="1" applyFont="1" applyFill="1" applyBorder="1" applyAlignment="1">
      <alignment horizontal="right" vertical="center"/>
      <protection/>
    </xf>
    <xf numFmtId="164" fontId="3" fillId="0" borderId="112" xfId="58" applyNumberFormat="1" applyFont="1" applyFill="1" applyBorder="1" applyAlignment="1">
      <alignment horizontal="center" vertical="center"/>
      <protection/>
    </xf>
    <xf numFmtId="164" fontId="3" fillId="0" borderId="39" xfId="58" applyNumberFormat="1" applyFont="1" applyFill="1" applyBorder="1" applyAlignment="1">
      <alignment horizontal="center" vertical="center"/>
      <protection/>
    </xf>
    <xf numFmtId="164" fontId="3" fillId="0" borderId="113" xfId="58" applyNumberFormat="1" applyFont="1" applyFill="1" applyBorder="1" applyAlignment="1">
      <alignment horizontal="center" vertical="center"/>
      <protection/>
    </xf>
    <xf numFmtId="164" fontId="3" fillId="0" borderId="38" xfId="58" applyNumberFormat="1" applyFont="1" applyFill="1" applyBorder="1" applyAlignment="1">
      <alignment horizontal="center" vertical="center"/>
      <protection/>
    </xf>
    <xf numFmtId="164" fontId="3" fillId="0" borderId="112" xfId="58" applyNumberFormat="1" applyFont="1" applyFill="1" applyBorder="1" applyAlignment="1">
      <alignment horizontal="center" vertical="center"/>
      <protection/>
    </xf>
    <xf numFmtId="164" fontId="3" fillId="0" borderId="39" xfId="58" applyNumberFormat="1" applyFont="1" applyFill="1" applyBorder="1" applyAlignment="1">
      <alignment horizontal="center" vertical="center"/>
      <protection/>
    </xf>
    <xf numFmtId="164" fontId="3" fillId="0" borderId="48" xfId="58" applyNumberFormat="1" applyFont="1" applyFill="1" applyBorder="1" applyAlignment="1">
      <alignment horizontal="center" vertical="center"/>
      <protection/>
    </xf>
    <xf numFmtId="14" fontId="3" fillId="0" borderId="114" xfId="58" applyNumberFormat="1" applyFont="1" applyFill="1" applyBorder="1" applyAlignment="1">
      <alignment horizontal="center" vertical="center"/>
      <protection/>
    </xf>
    <xf numFmtId="164" fontId="3" fillId="0" borderId="107" xfId="58" applyNumberFormat="1" applyFont="1" applyFill="1" applyBorder="1" applyAlignment="1">
      <alignment horizontal="center" vertical="center"/>
      <protection/>
    </xf>
    <xf numFmtId="164" fontId="3" fillId="0" borderId="105" xfId="58" applyNumberFormat="1" applyFont="1" applyFill="1" applyBorder="1" applyAlignment="1">
      <alignment horizontal="right" vertical="center"/>
      <protection/>
    </xf>
    <xf numFmtId="164" fontId="18" fillId="0" borderId="107" xfId="58" applyNumberFormat="1" applyFont="1" applyFill="1" applyBorder="1" applyAlignment="1">
      <alignment horizontal="right" vertical="center"/>
      <protection/>
    </xf>
    <xf numFmtId="164" fontId="3" fillId="0" borderId="108" xfId="58" applyNumberFormat="1" applyFont="1" applyFill="1" applyBorder="1" applyAlignment="1">
      <alignment horizontal="right" vertical="center"/>
      <protection/>
    </xf>
    <xf numFmtId="164" fontId="18" fillId="0" borderId="109" xfId="58" applyNumberFormat="1" applyFont="1" applyFill="1" applyBorder="1" applyAlignment="1">
      <alignment horizontal="right" vertical="center"/>
      <protection/>
    </xf>
    <xf numFmtId="164" fontId="3" fillId="0" borderId="105" xfId="58" applyNumberFormat="1" applyFont="1" applyFill="1" applyBorder="1" applyAlignment="1">
      <alignment horizontal="right" vertical="center"/>
      <protection/>
    </xf>
    <xf numFmtId="164" fontId="3" fillId="0" borderId="106" xfId="58" applyNumberFormat="1" applyFont="1" applyFill="1" applyBorder="1" applyAlignment="1">
      <alignment horizontal="right" vertical="center"/>
      <protection/>
    </xf>
    <xf numFmtId="164" fontId="3" fillId="0" borderId="108" xfId="58" applyNumberFormat="1" applyFont="1" applyFill="1" applyBorder="1" applyAlignment="1">
      <alignment horizontal="right" vertical="center"/>
      <protection/>
    </xf>
    <xf numFmtId="164" fontId="18" fillId="0" borderId="108" xfId="58" applyNumberFormat="1" applyFont="1" applyFill="1" applyBorder="1" applyAlignment="1">
      <alignment horizontal="right" vertical="center"/>
      <protection/>
    </xf>
    <xf numFmtId="164" fontId="18" fillId="0" borderId="106" xfId="58" applyNumberFormat="1" applyFont="1" applyFill="1" applyBorder="1" applyAlignment="1">
      <alignment horizontal="right" vertical="center"/>
      <protection/>
    </xf>
    <xf numFmtId="164" fontId="18" fillId="0" borderId="105" xfId="58" applyNumberFormat="1" applyFont="1" applyFill="1" applyBorder="1" applyAlignment="1">
      <alignment horizontal="right" vertical="center"/>
      <protection/>
    </xf>
    <xf numFmtId="171" fontId="3" fillId="0" borderId="0" xfId="58" applyNumberFormat="1" applyFont="1" applyAlignment="1">
      <alignment vertical="center"/>
      <protection/>
    </xf>
    <xf numFmtId="164" fontId="15" fillId="0" borderId="0" xfId="58" applyNumberFormat="1" applyFont="1" applyAlignment="1">
      <alignment vertical="center"/>
      <protection/>
    </xf>
    <xf numFmtId="164" fontId="24" fillId="0" borderId="42" xfId="62" applyNumberFormat="1" applyFont="1" applyBorder="1" applyAlignment="1" applyProtection="1">
      <alignment vertical="center" wrapText="1"/>
      <protection locked="0"/>
    </xf>
    <xf numFmtId="0" fontId="4" fillId="0" borderId="51" xfId="60" applyFont="1" applyFill="1" applyBorder="1" applyAlignment="1">
      <alignment horizontal="center" vertical="center"/>
      <protection/>
    </xf>
    <xf numFmtId="3" fontId="5" fillId="0" borderId="25" xfId="60" applyNumberFormat="1" applyFont="1" applyFill="1" applyBorder="1" applyAlignment="1">
      <alignment vertical="center"/>
      <protection/>
    </xf>
    <xf numFmtId="3" fontId="5" fillId="0" borderId="10" xfId="60" applyNumberFormat="1" applyFont="1" applyFill="1" applyBorder="1" applyAlignment="1">
      <alignment vertical="center"/>
      <protection/>
    </xf>
    <xf numFmtId="164" fontId="5" fillId="0" borderId="52" xfId="40" applyNumberFormat="1" applyFont="1" applyFill="1" applyBorder="1" applyAlignment="1">
      <alignment vertical="center"/>
    </xf>
    <xf numFmtId="164" fontId="19" fillId="0" borderId="14" xfId="68" applyNumberFormat="1" applyFont="1" applyFill="1" applyBorder="1" applyAlignment="1">
      <alignment horizontal="right" vertical="center" wrapText="1"/>
      <protection/>
    </xf>
    <xf numFmtId="164" fontId="19" fillId="0" borderId="21" xfId="68" applyNumberFormat="1" applyFont="1" applyFill="1" applyBorder="1" applyAlignment="1">
      <alignment horizontal="right" vertical="center" wrapText="1"/>
      <protection/>
    </xf>
    <xf numFmtId="164" fontId="19" fillId="0" borderId="15" xfId="68" applyNumberFormat="1" applyFont="1" applyFill="1" applyBorder="1" applyAlignment="1">
      <alignment horizontal="right" vertical="center" wrapText="1"/>
      <protection/>
    </xf>
    <xf numFmtId="3" fontId="9" fillId="0" borderId="20" xfId="60" applyNumberFormat="1" applyFont="1" applyFill="1" applyBorder="1" applyAlignment="1">
      <alignment vertical="center"/>
      <protection/>
    </xf>
    <xf numFmtId="3" fontId="11" fillId="0" borderId="115" xfId="60" applyNumberFormat="1" applyFont="1" applyFill="1" applyBorder="1" applyAlignment="1">
      <alignment vertical="center"/>
      <protection/>
    </xf>
    <xf numFmtId="0" fontId="25" fillId="0" borderId="20" xfId="0" applyFont="1" applyFill="1" applyBorder="1" applyAlignment="1">
      <alignment/>
    </xf>
    <xf numFmtId="3" fontId="11" fillId="0" borderId="20" xfId="60" applyNumberFormat="1" applyFont="1" applyFill="1" applyBorder="1" applyAlignment="1">
      <alignment vertical="center"/>
      <protection/>
    </xf>
    <xf numFmtId="3" fontId="9" fillId="0" borderId="115" xfId="60" applyNumberFormat="1" applyFont="1" applyFill="1" applyBorder="1" applyAlignment="1">
      <alignment vertical="center"/>
      <protection/>
    </xf>
    <xf numFmtId="3" fontId="11" fillId="0" borderId="20" xfId="60" applyNumberFormat="1" applyFont="1" applyFill="1" applyBorder="1" applyAlignment="1">
      <alignment horizontal="left" vertical="center" indent="1"/>
      <protection/>
    </xf>
    <xf numFmtId="3" fontId="11" fillId="0" borderId="20" xfId="60" applyNumberFormat="1" applyFont="1" applyFill="1" applyBorder="1" applyAlignment="1">
      <alignment horizontal="left" vertical="center" indent="3"/>
      <protection/>
    </xf>
    <xf numFmtId="3" fontId="11" fillId="0" borderId="20" xfId="60" applyNumberFormat="1" applyFont="1" applyFill="1" applyBorder="1" applyAlignment="1">
      <alignment horizontal="left" vertical="center" indent="9"/>
      <protection/>
    </xf>
    <xf numFmtId="3" fontId="24" fillId="0" borderId="20" xfId="0" applyNumberFormat="1" applyFont="1" applyFill="1" applyBorder="1" applyAlignment="1">
      <alignment horizontal="left" vertical="center" indent="9"/>
    </xf>
    <xf numFmtId="3" fontId="11" fillId="0" borderId="20" xfId="60" applyNumberFormat="1" applyFont="1" applyFill="1" applyBorder="1" applyAlignment="1">
      <alignment horizontal="left" vertical="center" indent="4"/>
      <protection/>
    </xf>
    <xf numFmtId="3" fontId="11" fillId="0" borderId="20" xfId="60" applyNumberFormat="1" applyFont="1" applyFill="1" applyBorder="1" applyAlignment="1">
      <alignment horizontal="left" vertical="top" indent="8"/>
      <protection/>
    </xf>
    <xf numFmtId="3" fontId="11" fillId="0" borderId="116" xfId="60" applyNumberFormat="1" applyFont="1" applyFill="1" applyBorder="1" applyAlignment="1">
      <alignment vertical="center"/>
      <protection/>
    </xf>
    <xf numFmtId="0" fontId="28" fillId="0" borderId="20" xfId="0" applyFont="1" applyFill="1" applyBorder="1" applyAlignment="1">
      <alignment/>
    </xf>
    <xf numFmtId="3" fontId="11" fillId="0" borderId="13" xfId="60" applyNumberFormat="1" applyFont="1" applyFill="1" applyBorder="1" applyAlignment="1">
      <alignment vertical="center"/>
      <protection/>
    </xf>
    <xf numFmtId="3" fontId="11" fillId="0" borderId="45" xfId="60" applyNumberFormat="1" applyFont="1" applyFill="1" applyBorder="1" applyAlignment="1">
      <alignment vertical="center"/>
      <protection/>
    </xf>
    <xf numFmtId="3" fontId="9" fillId="0" borderId="45" xfId="60" applyNumberFormat="1" applyFont="1" applyFill="1" applyBorder="1" applyAlignment="1">
      <alignment vertical="center"/>
      <protection/>
    </xf>
    <xf numFmtId="3" fontId="9" fillId="0" borderId="13" xfId="0" applyNumberFormat="1" applyFont="1" applyFill="1" applyBorder="1" applyAlignment="1">
      <alignment/>
    </xf>
    <xf numFmtId="3" fontId="11" fillId="0" borderId="53" xfId="0" applyNumberFormat="1" applyFont="1" applyFill="1" applyBorder="1" applyAlignment="1">
      <alignment/>
    </xf>
    <xf numFmtId="3" fontId="11" fillId="0" borderId="38" xfId="0" applyNumberFormat="1" applyFont="1" applyFill="1" applyBorder="1" applyAlignment="1">
      <alignment vertical="top"/>
    </xf>
    <xf numFmtId="3" fontId="9" fillId="0" borderId="38" xfId="0" applyNumberFormat="1" applyFont="1" applyFill="1" applyBorder="1" applyAlignment="1">
      <alignment/>
    </xf>
    <xf numFmtId="164" fontId="24" fillId="0" borderId="24" xfId="65" applyNumberFormat="1" applyFont="1" applyFill="1" applyBorder="1" applyAlignment="1">
      <alignment horizontal="left" vertical="center"/>
      <protection/>
    </xf>
    <xf numFmtId="164" fontId="24" fillId="24" borderId="10" xfId="62" applyNumberFormat="1" applyFont="1" applyFill="1" applyBorder="1" applyAlignment="1" applyProtection="1">
      <alignment vertical="center" wrapText="1"/>
      <protection/>
    </xf>
    <xf numFmtId="164" fontId="24" fillId="0" borderId="10" xfId="62" applyNumberFormat="1" applyFont="1" applyBorder="1" applyAlignment="1" applyProtection="1">
      <alignment vertical="center" wrapText="1"/>
      <protection locked="0"/>
    </xf>
    <xf numFmtId="164" fontId="24" fillId="0" borderId="14" xfId="62" applyNumberFormat="1" applyFont="1" applyBorder="1" applyAlignment="1">
      <alignment vertical="center" wrapText="1"/>
      <protection/>
    </xf>
    <xf numFmtId="164" fontId="24" fillId="0" borderId="23" xfId="62" applyNumberFormat="1" applyFont="1" applyBorder="1" applyAlignment="1" applyProtection="1">
      <alignment vertical="center" wrapText="1"/>
      <protection locked="0"/>
    </xf>
    <xf numFmtId="164" fontId="24" fillId="0" borderId="21" xfId="62" applyNumberFormat="1" applyFont="1" applyBorder="1" applyAlignment="1">
      <alignment vertical="center" wrapText="1"/>
      <protection/>
    </xf>
    <xf numFmtId="164" fontId="24" fillId="0" borderId="10" xfId="62" applyNumberFormat="1" applyFont="1" applyFill="1" applyBorder="1" applyAlignment="1" applyProtection="1">
      <alignment vertical="center" wrapText="1"/>
      <protection locked="0"/>
    </xf>
    <xf numFmtId="164" fontId="20" fillId="0" borderId="10" xfId="62" applyNumberFormat="1" applyFont="1" applyBorder="1" applyAlignment="1" applyProtection="1">
      <alignment horizontal="center" vertical="center" wrapText="1"/>
      <protection locked="0"/>
    </xf>
    <xf numFmtId="164" fontId="20" fillId="0" borderId="10" xfId="62" applyNumberFormat="1" applyFont="1" applyBorder="1" applyAlignment="1" applyProtection="1">
      <alignment vertical="center" wrapText="1"/>
      <protection locked="0"/>
    </xf>
    <xf numFmtId="164" fontId="20" fillId="0" borderId="14" xfId="62" applyNumberFormat="1" applyFont="1" applyBorder="1" applyAlignment="1" applyProtection="1">
      <alignment vertical="center" wrapText="1"/>
      <protection locked="0"/>
    </xf>
    <xf numFmtId="164" fontId="24" fillId="0" borderId="26" xfId="62" applyNumberFormat="1" applyFont="1" applyBorder="1" applyAlignment="1" applyProtection="1">
      <alignment vertical="center" wrapText="1"/>
      <protection locked="0"/>
    </xf>
    <xf numFmtId="164" fontId="20" fillId="24" borderId="30" xfId="62" applyNumberFormat="1" applyFont="1" applyFill="1" applyBorder="1" applyAlignment="1" applyProtection="1">
      <alignment vertical="center" wrapText="1"/>
      <protection/>
    </xf>
    <xf numFmtId="164" fontId="20" fillId="0" borderId="30" xfId="62" applyNumberFormat="1" applyFont="1" applyBorder="1" applyAlignment="1">
      <alignment vertical="center" wrapText="1"/>
      <protection/>
    </xf>
    <xf numFmtId="164" fontId="24" fillId="0" borderId="29" xfId="62" applyNumberFormat="1" applyFont="1" applyBorder="1" applyAlignment="1">
      <alignment horizontal="right" vertical="center" wrapText="1"/>
      <protection/>
    </xf>
    <xf numFmtId="164" fontId="24" fillId="0" borderId="29" xfId="62" applyNumberFormat="1" applyFont="1" applyBorder="1" applyAlignment="1">
      <alignment horizontal="center" vertical="center" wrapText="1"/>
      <protection/>
    </xf>
    <xf numFmtId="164" fontId="24" fillId="0" borderId="29" xfId="62" applyNumberFormat="1" applyFont="1" applyBorder="1" applyAlignment="1">
      <alignment horizontal="right" vertical="center"/>
      <protection/>
    </xf>
    <xf numFmtId="164" fontId="24" fillId="0" borderId="29" xfId="62" applyNumberFormat="1" applyFont="1" applyBorder="1" applyAlignment="1">
      <alignment horizontal="center" vertical="center"/>
      <protection/>
    </xf>
    <xf numFmtId="164" fontId="24" fillId="0" borderId="0" xfId="62" applyNumberFormat="1" applyFont="1" applyBorder="1" applyAlignment="1">
      <alignment vertical="center" wrapText="1"/>
      <protection/>
    </xf>
    <xf numFmtId="164" fontId="20" fillId="24" borderId="10" xfId="62" applyNumberFormat="1" applyFont="1" applyFill="1" applyBorder="1" applyAlignment="1" applyProtection="1">
      <alignment vertical="center" wrapText="1"/>
      <protection/>
    </xf>
    <xf numFmtId="164" fontId="20" fillId="0" borderId="10" xfId="62" applyNumberFormat="1" applyFont="1" applyBorder="1" applyAlignment="1">
      <alignment vertical="center" wrapText="1"/>
      <protection/>
    </xf>
    <xf numFmtId="164" fontId="20" fillId="0" borderId="23" xfId="62" applyNumberFormat="1" applyFont="1" applyBorder="1" applyAlignment="1">
      <alignment vertical="center" wrapText="1"/>
      <protection/>
    </xf>
    <xf numFmtId="164" fontId="20" fillId="0" borderId="10" xfId="62" applyNumberFormat="1" applyFont="1" applyFill="1" applyBorder="1" applyAlignment="1">
      <alignment vertical="center" wrapText="1"/>
      <protection/>
    </xf>
    <xf numFmtId="164" fontId="24" fillId="0" borderId="23" xfId="58" applyNumberFormat="1" applyFont="1" applyFill="1" applyBorder="1" applyAlignment="1">
      <alignment vertical="center"/>
      <protection/>
    </xf>
    <xf numFmtId="164" fontId="20" fillId="0" borderId="11" xfId="62" applyNumberFormat="1" applyFont="1" applyBorder="1" applyAlignment="1">
      <alignment vertical="center" wrapText="1"/>
      <protection/>
    </xf>
    <xf numFmtId="164" fontId="24" fillId="0" borderId="38" xfId="62" applyNumberFormat="1" applyFont="1" applyBorder="1" applyAlignment="1">
      <alignment vertical="center" wrapText="1"/>
      <protection/>
    </xf>
    <xf numFmtId="164" fontId="20" fillId="0" borderId="16" xfId="62" applyNumberFormat="1" applyFont="1" applyBorder="1" applyAlignment="1">
      <alignment vertical="center" wrapText="1"/>
      <protection/>
    </xf>
    <xf numFmtId="164" fontId="20" fillId="0" borderId="13" xfId="62" applyNumberFormat="1" applyFont="1" applyBorder="1" applyAlignment="1">
      <alignment vertical="center" wrapText="1"/>
      <protection/>
    </xf>
    <xf numFmtId="164" fontId="24" fillId="0" borderId="65" xfId="62" applyNumberFormat="1" applyFont="1" applyBorder="1" applyAlignment="1">
      <alignment horizontal="left" vertical="center" wrapText="1"/>
      <protection/>
    </xf>
    <xf numFmtId="164" fontId="4" fillId="0" borderId="40" xfId="0" applyNumberFormat="1" applyFont="1" applyFill="1" applyBorder="1" applyAlignment="1">
      <alignment horizontal="center" vertical="center" wrapText="1"/>
    </xf>
    <xf numFmtId="3" fontId="5" fillId="0" borderId="38" xfId="40" applyNumberFormat="1" applyFont="1" applyFill="1" applyBorder="1" applyAlignment="1">
      <alignment vertical="center"/>
    </xf>
    <xf numFmtId="166" fontId="9" fillId="0" borderId="16" xfId="84" applyNumberFormat="1" applyFont="1" applyBorder="1" applyAlignment="1">
      <alignment vertical="center"/>
      <protection/>
    </xf>
    <xf numFmtId="164" fontId="23" fillId="0" borderId="66" xfId="74" applyNumberFormat="1" applyFont="1" applyFill="1" applyBorder="1" applyAlignment="1">
      <alignment vertical="center"/>
      <protection/>
    </xf>
    <xf numFmtId="164" fontId="23" fillId="0" borderId="117" xfId="74" applyNumberFormat="1" applyFont="1" applyFill="1" applyBorder="1" applyAlignment="1">
      <alignment vertical="center"/>
      <protection/>
    </xf>
    <xf numFmtId="164" fontId="19" fillId="0" borderId="78" xfId="74" applyNumberFormat="1" applyFont="1" applyFill="1" applyBorder="1" applyAlignment="1">
      <alignment vertical="center"/>
      <protection/>
    </xf>
    <xf numFmtId="164" fontId="19" fillId="0" borderId="90" xfId="74" applyNumberFormat="1" applyFont="1" applyFill="1" applyBorder="1" applyAlignment="1">
      <alignment vertical="center"/>
      <protection/>
    </xf>
    <xf numFmtId="164" fontId="68" fillId="0" borderId="87" xfId="61" applyNumberFormat="1" applyFont="1" applyFill="1" applyBorder="1" applyAlignment="1">
      <alignment horizontal="left" vertical="center" wrapText="1"/>
      <protection/>
    </xf>
    <xf numFmtId="164" fontId="19" fillId="0" borderId="50" xfId="74" applyNumberFormat="1" applyFont="1" applyFill="1" applyBorder="1" applyAlignment="1">
      <alignment horizontal="left" vertical="center" indent="2"/>
      <protection/>
    </xf>
    <xf numFmtId="164" fontId="23" fillId="0" borderId="85" xfId="74" applyNumberFormat="1" applyFont="1" applyFill="1" applyBorder="1" applyAlignment="1">
      <alignment vertical="center"/>
      <protection/>
    </xf>
    <xf numFmtId="164" fontId="19" fillId="0" borderId="70" xfId="74" applyNumberFormat="1" applyFont="1" applyFill="1" applyBorder="1" applyAlignment="1">
      <alignment vertical="center"/>
      <protection/>
    </xf>
    <xf numFmtId="164" fontId="23" fillId="0" borderId="118" xfId="74" applyNumberFormat="1" applyFont="1" applyFill="1" applyBorder="1" applyAlignment="1">
      <alignment vertical="center"/>
      <protection/>
    </xf>
    <xf numFmtId="164" fontId="23" fillId="0" borderId="28" xfId="74" applyNumberFormat="1" applyFont="1" applyFill="1" applyBorder="1" applyAlignment="1">
      <alignment vertical="center"/>
      <protection/>
    </xf>
    <xf numFmtId="164" fontId="19" fillId="0" borderId="27" xfId="74" applyNumberFormat="1" applyFont="1" applyFill="1" applyBorder="1" applyAlignment="1">
      <alignment vertical="center"/>
      <protection/>
    </xf>
    <xf numFmtId="164" fontId="23" fillId="0" borderId="31" xfId="74" applyNumberFormat="1" applyFont="1" applyFill="1" applyBorder="1" applyAlignment="1">
      <alignment vertical="center"/>
      <protection/>
    </xf>
    <xf numFmtId="0" fontId="40" fillId="0" borderId="12" xfId="83" applyFont="1" applyBorder="1" applyAlignment="1">
      <alignment vertical="center" wrapText="1"/>
      <protection/>
    </xf>
    <xf numFmtId="164" fontId="24" fillId="0" borderId="56" xfId="84" applyNumberFormat="1" applyFont="1" applyFill="1" applyBorder="1" applyAlignment="1">
      <alignment horizontal="left" vertical="center"/>
      <protection/>
    </xf>
    <xf numFmtId="164" fontId="11" fillId="0" borderId="26" xfId="0" applyNumberFormat="1" applyFont="1" applyFill="1" applyBorder="1" applyAlignment="1">
      <alignment vertical="center"/>
    </xf>
    <xf numFmtId="164" fontId="11" fillId="0" borderId="14" xfId="60" applyNumberFormat="1" applyFont="1" applyFill="1" applyBorder="1" applyAlignment="1">
      <alignment vertical="center"/>
      <protection/>
    </xf>
    <xf numFmtId="164" fontId="11" fillId="0" borderId="58" xfId="89" applyNumberFormat="1" applyFont="1" applyFill="1" applyBorder="1" applyAlignment="1" applyProtection="1">
      <alignment horizontal="justify" vertical="center" wrapText="1"/>
      <protection locked="0"/>
    </xf>
    <xf numFmtId="164" fontId="11" fillId="0" borderId="0" xfId="78" applyNumberFormat="1" applyFont="1" applyAlignment="1">
      <alignment horizontal="center"/>
      <protection/>
    </xf>
    <xf numFmtId="10" fontId="11" fillId="0" borderId="0" xfId="96" applyNumberFormat="1" applyFont="1" applyAlignment="1">
      <alignment/>
    </xf>
    <xf numFmtId="164" fontId="9" fillId="0" borderId="90" xfId="62" applyNumberFormat="1" applyFont="1" applyBorder="1" applyAlignment="1">
      <alignment horizontal="right" vertical="center"/>
      <protection/>
    </xf>
    <xf numFmtId="164" fontId="9" fillId="0" borderId="48" xfId="62" applyNumberFormat="1" applyFont="1" applyBorder="1" applyAlignment="1">
      <alignment horizontal="left" vertical="center" wrapText="1"/>
      <protection/>
    </xf>
    <xf numFmtId="164" fontId="9" fillId="0" borderId="39" xfId="62" applyNumberFormat="1" applyFont="1" applyFill="1" applyBorder="1" applyAlignment="1">
      <alignment horizontal="right" vertical="center"/>
      <protection/>
    </xf>
    <xf numFmtId="164" fontId="9" fillId="0" borderId="39" xfId="62" applyNumberFormat="1" applyFont="1" applyBorder="1" applyAlignment="1">
      <alignment horizontal="right" vertical="center"/>
      <protection/>
    </xf>
    <xf numFmtId="164" fontId="9" fillId="0" borderId="37" xfId="62" applyNumberFormat="1" applyFont="1" applyBorder="1" applyAlignment="1">
      <alignment horizontal="right" vertical="center"/>
      <protection/>
    </xf>
    <xf numFmtId="164" fontId="9" fillId="0" borderId="25" xfId="62" applyNumberFormat="1" applyFont="1" applyBorder="1" applyAlignment="1">
      <alignment horizontal="left" vertical="center" wrapText="1"/>
      <protection/>
    </xf>
    <xf numFmtId="164" fontId="9" fillId="0" borderId="25" xfId="62" applyNumberFormat="1" applyFont="1" applyBorder="1" applyAlignment="1">
      <alignment horizontal="right" vertical="center" wrapText="1"/>
      <protection/>
    </xf>
    <xf numFmtId="164" fontId="9" fillId="0" borderId="25" xfId="62" applyNumberFormat="1" applyFont="1" applyFill="1" applyBorder="1" applyAlignment="1">
      <alignment horizontal="right" vertical="center" wrapText="1"/>
      <protection/>
    </xf>
    <xf numFmtId="164" fontId="9" fillId="0" borderId="25" xfId="62" applyNumberFormat="1" applyFont="1" applyBorder="1" applyAlignment="1">
      <alignment horizontal="right"/>
      <protection/>
    </xf>
    <xf numFmtId="164" fontId="9" fillId="0" borderId="52" xfId="62" applyNumberFormat="1" applyFont="1" applyBorder="1" applyAlignment="1">
      <alignment horizontal="right"/>
      <protection/>
    </xf>
    <xf numFmtId="164" fontId="11" fillId="0" borderId="10" xfId="62" applyNumberFormat="1" applyFont="1" applyBorder="1" applyAlignment="1">
      <alignment horizontal="left" vertical="center" wrapText="1"/>
      <protection/>
    </xf>
    <xf numFmtId="164" fontId="11" fillId="0" borderId="10" xfId="62" applyNumberFormat="1" applyFont="1" applyFill="1" applyBorder="1" applyAlignment="1">
      <alignment horizontal="right" vertical="center" wrapText="1"/>
      <protection/>
    </xf>
    <xf numFmtId="164" fontId="9" fillId="0" borderId="56" xfId="62" applyNumberFormat="1" applyFont="1" applyBorder="1" applyAlignment="1">
      <alignment horizontal="left" vertical="center" wrapText="1"/>
      <protection/>
    </xf>
    <xf numFmtId="164" fontId="9" fillId="0" borderId="26" xfId="62" applyNumberFormat="1" applyFont="1" applyFill="1" applyBorder="1" applyAlignment="1">
      <alignment horizontal="right" vertical="center"/>
      <protection/>
    </xf>
    <xf numFmtId="164" fontId="9" fillId="0" borderId="26" xfId="62" applyNumberFormat="1" applyFont="1" applyBorder="1" applyAlignment="1">
      <alignment horizontal="right" vertical="center"/>
      <protection/>
    </xf>
    <xf numFmtId="164" fontId="9" fillId="0" borderId="59" xfId="62" applyNumberFormat="1" applyFont="1" applyBorder="1" applyAlignment="1">
      <alignment horizontal="right" vertical="center"/>
      <protection/>
    </xf>
    <xf numFmtId="0" fontId="19" fillId="0" borderId="0" xfId="75" applyFont="1" applyFill="1" applyBorder="1" applyAlignment="1">
      <alignment horizontal="right"/>
      <protection/>
    </xf>
    <xf numFmtId="164" fontId="23" fillId="0" borderId="0" xfId="73" applyNumberFormat="1" applyFont="1" applyFill="1" applyAlignment="1">
      <alignment horizontal="center" vertical="center" wrapText="1"/>
      <protection/>
    </xf>
    <xf numFmtId="3" fontId="11" fillId="0" borderId="0" xfId="83" applyNumberFormat="1" applyFont="1" applyAlignment="1">
      <alignment vertical="center"/>
      <protection/>
    </xf>
    <xf numFmtId="3" fontId="9" fillId="0" borderId="0" xfId="83" applyNumberFormat="1" applyFont="1" applyAlignment="1">
      <alignment horizontal="center" vertical="center"/>
      <protection/>
    </xf>
    <xf numFmtId="164" fontId="11" fillId="0" borderId="0" xfId="83" applyNumberFormat="1" applyFont="1" applyAlignment="1">
      <alignment vertical="center"/>
      <protection/>
    </xf>
    <xf numFmtId="164" fontId="11" fillId="0" borderId="0" xfId="83" applyNumberFormat="1" applyFont="1" applyAlignment="1">
      <alignment horizontal="right" vertical="center"/>
      <protection/>
    </xf>
    <xf numFmtId="3" fontId="9" fillId="0" borderId="0" xfId="83" applyNumberFormat="1" applyFont="1" applyAlignment="1">
      <alignment vertical="center"/>
      <protection/>
    </xf>
    <xf numFmtId="3" fontId="9" fillId="0" borderId="22" xfId="83" applyNumberFormat="1" applyFont="1" applyBorder="1" applyAlignment="1">
      <alignment vertical="center" wrapText="1"/>
      <protection/>
    </xf>
    <xf numFmtId="3" fontId="9" fillId="0" borderId="23" xfId="83" applyNumberFormat="1" applyFont="1" applyBorder="1" applyAlignment="1">
      <alignment horizontal="center" vertical="center"/>
      <protection/>
    </xf>
    <xf numFmtId="164" fontId="11" fillId="0" borderId="23" xfId="83" applyNumberFormat="1" applyFont="1" applyBorder="1" applyAlignment="1">
      <alignment vertical="center"/>
      <protection/>
    </xf>
    <xf numFmtId="164" fontId="11" fillId="0" borderId="23" xfId="83" applyNumberFormat="1" applyFont="1" applyBorder="1" applyAlignment="1">
      <alignment vertical="center" wrapText="1"/>
      <protection/>
    </xf>
    <xf numFmtId="164" fontId="11" fillId="0" borderId="21" xfId="83" applyNumberFormat="1" applyFont="1" applyBorder="1" applyAlignment="1">
      <alignment vertical="center"/>
      <protection/>
    </xf>
    <xf numFmtId="3" fontId="11" fillId="0" borderId="12" xfId="83" applyNumberFormat="1" applyFont="1" applyBorder="1" applyAlignment="1">
      <alignment vertical="center" wrapText="1"/>
      <protection/>
    </xf>
    <xf numFmtId="3" fontId="9" fillId="0" borderId="10" xfId="83" applyNumberFormat="1" applyFont="1" applyBorder="1" applyAlignment="1">
      <alignment horizontal="center" vertical="center"/>
      <protection/>
    </xf>
    <xf numFmtId="164" fontId="11" fillId="0" borderId="10" xfId="83" applyNumberFormat="1" applyFont="1" applyBorder="1" applyAlignment="1">
      <alignment vertical="center"/>
      <protection/>
    </xf>
    <xf numFmtId="164" fontId="11" fillId="0" borderId="10" xfId="83" applyNumberFormat="1" applyFont="1" applyFill="1" applyBorder="1" applyAlignment="1">
      <alignment vertical="center"/>
      <protection/>
    </xf>
    <xf numFmtId="164" fontId="11" fillId="0" borderId="14" xfId="83" applyNumberFormat="1" applyFont="1" applyBorder="1" applyAlignment="1">
      <alignment vertical="center"/>
      <protection/>
    </xf>
    <xf numFmtId="3" fontId="9" fillId="0" borderId="12" xfId="83" applyNumberFormat="1" applyFont="1" applyBorder="1" applyAlignment="1">
      <alignment vertical="center" wrapText="1"/>
      <protection/>
    </xf>
    <xf numFmtId="164" fontId="11" fillId="0" borderId="14" xfId="83" applyNumberFormat="1" applyFont="1" applyFill="1" applyBorder="1" applyAlignment="1">
      <alignment vertical="center"/>
      <protection/>
    </xf>
    <xf numFmtId="3" fontId="11" fillId="0" borderId="0" xfId="83" applyNumberFormat="1" applyFont="1" applyFill="1" applyAlignment="1">
      <alignment vertical="center"/>
      <protection/>
    </xf>
    <xf numFmtId="49" fontId="11" fillId="0" borderId="12" xfId="83" applyNumberFormat="1" applyFont="1" applyBorder="1" applyAlignment="1">
      <alignment vertical="center" wrapText="1"/>
      <protection/>
    </xf>
    <xf numFmtId="49" fontId="11" fillId="0" borderId="12" xfId="87" applyNumberFormat="1" applyFont="1" applyFill="1" applyBorder="1" applyAlignment="1">
      <alignment vertical="center" wrapText="1"/>
      <protection/>
    </xf>
    <xf numFmtId="164" fontId="9" fillId="0" borderId="10" xfId="83" applyNumberFormat="1" applyFont="1" applyFill="1" applyBorder="1" applyAlignment="1">
      <alignment horizontal="center" vertical="center" wrapText="1"/>
      <protection/>
    </xf>
    <xf numFmtId="164" fontId="9" fillId="0" borderId="10" xfId="83" applyNumberFormat="1" applyFont="1" applyFill="1" applyBorder="1" applyAlignment="1">
      <alignment horizontal="center" vertical="center"/>
      <protection/>
    </xf>
    <xf numFmtId="164" fontId="11" fillId="0" borderId="12" xfId="83" applyNumberFormat="1" applyFont="1" applyFill="1" applyBorder="1" applyAlignment="1">
      <alignment vertical="center" wrapText="1"/>
      <protection/>
    </xf>
    <xf numFmtId="3" fontId="11" fillId="0" borderId="56" xfId="83" applyNumberFormat="1" applyFont="1" applyBorder="1" applyAlignment="1">
      <alignment vertical="center" wrapText="1"/>
      <protection/>
    </xf>
    <xf numFmtId="3" fontId="9" fillId="0" borderId="26" xfId="83" applyNumberFormat="1" applyFont="1" applyBorder="1" applyAlignment="1">
      <alignment horizontal="center" vertical="center"/>
      <protection/>
    </xf>
    <xf numFmtId="164" fontId="11" fillId="0" borderId="26" xfId="83" applyNumberFormat="1" applyFont="1" applyBorder="1" applyAlignment="1">
      <alignment vertical="center"/>
      <protection/>
    </xf>
    <xf numFmtId="164" fontId="11" fillId="0" borderId="26" xfId="83" applyNumberFormat="1" applyFont="1" applyBorder="1" applyAlignment="1">
      <alignment vertical="center"/>
      <protection/>
    </xf>
    <xf numFmtId="164" fontId="11" fillId="0" borderId="26" xfId="83" applyNumberFormat="1" applyFont="1" applyFill="1" applyBorder="1" applyAlignment="1">
      <alignment vertical="center"/>
      <protection/>
    </xf>
    <xf numFmtId="164" fontId="11" fillId="0" borderId="59" xfId="83" applyNumberFormat="1" applyFont="1" applyBorder="1" applyAlignment="1">
      <alignment vertical="center"/>
      <protection/>
    </xf>
    <xf numFmtId="164" fontId="54" fillId="0" borderId="16" xfId="83" applyNumberFormat="1" applyFont="1" applyBorder="1" applyAlignment="1">
      <alignment vertical="center"/>
      <protection/>
    </xf>
    <xf numFmtId="164" fontId="9" fillId="0" borderId="16" xfId="83" applyNumberFormat="1" applyFont="1" applyBorder="1" applyAlignment="1">
      <alignment vertical="center"/>
      <protection/>
    </xf>
    <xf numFmtId="164" fontId="9" fillId="0" borderId="13" xfId="83" applyNumberFormat="1" applyFont="1" applyBorder="1" applyAlignment="1">
      <alignment vertical="center"/>
      <protection/>
    </xf>
    <xf numFmtId="3" fontId="11" fillId="0" borderId="0" xfId="83" applyNumberFormat="1" applyFont="1" applyBorder="1" applyAlignment="1">
      <alignment vertical="center"/>
      <protection/>
    </xf>
    <xf numFmtId="3" fontId="9" fillId="0" borderId="0" xfId="83" applyNumberFormat="1" applyFont="1" applyBorder="1" applyAlignment="1">
      <alignment horizontal="center" vertical="center"/>
      <protection/>
    </xf>
    <xf numFmtId="164" fontId="11" fillId="0" borderId="0" xfId="83" applyNumberFormat="1" applyFont="1" applyBorder="1" applyAlignment="1">
      <alignment vertical="center"/>
      <protection/>
    </xf>
    <xf numFmtId="3" fontId="11" fillId="0" borderId="12" xfId="83" applyNumberFormat="1" applyFont="1" applyBorder="1" applyAlignment="1">
      <alignment vertical="center"/>
      <protection/>
    </xf>
    <xf numFmtId="3" fontId="11" fillId="0" borderId="56" xfId="83" applyNumberFormat="1" applyFont="1" applyBorder="1" applyAlignment="1">
      <alignment vertical="center"/>
      <protection/>
    </xf>
    <xf numFmtId="3" fontId="9" fillId="0" borderId="26" xfId="83" applyNumberFormat="1" applyFont="1" applyBorder="1" applyAlignment="1">
      <alignment horizontal="center" vertical="center"/>
      <protection/>
    </xf>
    <xf numFmtId="164" fontId="54" fillId="0" borderId="25" xfId="83" applyNumberFormat="1" applyFont="1" applyBorder="1" applyAlignment="1">
      <alignment vertical="center"/>
      <protection/>
    </xf>
    <xf numFmtId="164" fontId="9" fillId="0" borderId="25" xfId="83" applyNumberFormat="1" applyFont="1" applyBorder="1" applyAlignment="1">
      <alignment vertical="center"/>
      <protection/>
    </xf>
    <xf numFmtId="164" fontId="9" fillId="0" borderId="52" xfId="83" applyNumberFormat="1" applyFont="1" applyBorder="1" applyAlignment="1">
      <alignment vertical="center"/>
      <protection/>
    </xf>
    <xf numFmtId="3" fontId="11" fillId="0" borderId="54" xfId="83" applyNumberFormat="1" applyFont="1" applyBorder="1" applyAlignment="1">
      <alignment vertical="center"/>
      <protection/>
    </xf>
    <xf numFmtId="164" fontId="4" fillId="0" borderId="13" xfId="0" applyNumberFormat="1" applyFont="1" applyFill="1" applyBorder="1" applyAlignment="1">
      <alignment vertical="center"/>
    </xf>
    <xf numFmtId="164" fontId="5" fillId="0" borderId="12" xfId="0" applyNumberFormat="1" applyFont="1" applyFill="1" applyBorder="1" applyAlignment="1">
      <alignment horizontal="left" vertical="center" wrapText="1"/>
    </xf>
    <xf numFmtId="164" fontId="9" fillId="0" borderId="40" xfId="0" applyNumberFormat="1" applyFont="1" applyFill="1" applyBorder="1" applyAlignment="1">
      <alignment vertical="center"/>
    </xf>
    <xf numFmtId="3" fontId="5" fillId="0" borderId="10" xfId="66" applyNumberFormat="1" applyFont="1" applyFill="1" applyBorder="1" applyAlignment="1" applyProtection="1">
      <alignment horizontal="left" vertical="center" wrapText="1"/>
      <protection locked="0"/>
    </xf>
    <xf numFmtId="3" fontId="19" fillId="0" borderId="12" xfId="66" applyNumberFormat="1" applyFont="1" applyFill="1" applyBorder="1" applyAlignment="1" applyProtection="1">
      <alignment horizontal="left" vertical="center" wrapText="1"/>
      <protection locked="0"/>
    </xf>
    <xf numFmtId="164" fontId="19" fillId="0" borderId="51" xfId="66" applyNumberFormat="1" applyFont="1" applyFill="1" applyBorder="1" applyAlignment="1" applyProtection="1">
      <alignment horizontal="left" vertical="center" wrapText="1" indent="2"/>
      <protection locked="0"/>
    </xf>
    <xf numFmtId="164" fontId="19" fillId="0" borderId="12" xfId="66" applyNumberFormat="1" applyFont="1" applyFill="1" applyBorder="1" applyAlignment="1" applyProtection="1">
      <alignment horizontal="left" vertical="center" wrapText="1" indent="2"/>
      <protection locked="0"/>
    </xf>
    <xf numFmtId="3" fontId="11" fillId="0" borderId="51" xfId="71" applyNumberFormat="1" applyFont="1" applyFill="1" applyBorder="1" applyAlignment="1">
      <alignment vertical="center"/>
      <protection/>
    </xf>
    <xf numFmtId="164" fontId="11" fillId="0" borderId="12" xfId="84" applyNumberFormat="1" applyFont="1" applyFill="1" applyBorder="1" applyAlignment="1">
      <alignment horizontal="left" vertical="center"/>
      <protection/>
    </xf>
    <xf numFmtId="164" fontId="11" fillId="0" borderId="12" xfId="80" applyNumberFormat="1" applyFont="1" applyFill="1" applyBorder="1" applyAlignment="1">
      <alignment horizontal="left" vertical="center" wrapText="1"/>
      <protection/>
    </xf>
    <xf numFmtId="164" fontId="9" fillId="0" borderId="16" xfId="0" applyNumberFormat="1" applyFont="1" applyFill="1" applyBorder="1" applyAlignment="1">
      <alignment horizontal="right" vertical="center"/>
    </xf>
    <xf numFmtId="164" fontId="9" fillId="0" borderId="13" xfId="0" applyNumberFormat="1" applyFont="1" applyFill="1" applyBorder="1" applyAlignment="1">
      <alignment horizontal="right" vertical="center"/>
    </xf>
    <xf numFmtId="164" fontId="5" fillId="0" borderId="39" xfId="74" applyNumberFormat="1" applyFont="1" applyFill="1" applyBorder="1" applyAlignment="1">
      <alignment horizontal="center" vertical="center" wrapText="1"/>
      <protection/>
    </xf>
    <xf numFmtId="164" fontId="5" fillId="0" borderId="119" xfId="74" applyNumberFormat="1" applyFont="1" applyFill="1" applyBorder="1" applyAlignment="1">
      <alignment horizontal="center" vertical="center" wrapText="1"/>
      <protection/>
    </xf>
    <xf numFmtId="164" fontId="19" fillId="0" borderId="51" xfId="66" applyNumberFormat="1" applyFont="1" applyFill="1" applyBorder="1" applyAlignment="1" applyProtection="1">
      <alignment horizontal="left" vertical="center" wrapText="1"/>
      <protection locked="0"/>
    </xf>
    <xf numFmtId="164" fontId="19" fillId="0" borderId="12" xfId="66" applyNumberFormat="1" applyFont="1" applyFill="1" applyBorder="1" applyAlignment="1" applyProtection="1">
      <alignment horizontal="left" vertical="center" wrapText="1"/>
      <protection locked="0"/>
    </xf>
    <xf numFmtId="164" fontId="16" fillId="0" borderId="37" xfId="75" applyNumberFormat="1" applyFont="1" applyFill="1" applyBorder="1" applyAlignment="1">
      <alignment vertical="center"/>
      <protection/>
    </xf>
    <xf numFmtId="164" fontId="11" fillId="0" borderId="26" xfId="63" applyNumberFormat="1" applyFont="1" applyFill="1" applyBorder="1" applyAlignment="1">
      <alignment horizontal="center" vertical="center"/>
      <protection/>
    </xf>
    <xf numFmtId="164" fontId="7" fillId="0" borderId="19" xfId="71" applyNumberFormat="1" applyFont="1" applyFill="1" applyBorder="1" applyAlignment="1">
      <alignment horizontal="center" vertical="center" wrapText="1"/>
      <protection/>
    </xf>
    <xf numFmtId="164" fontId="16" fillId="0" borderId="19" xfId="75" applyNumberFormat="1" applyFont="1" applyFill="1" applyBorder="1" applyAlignment="1">
      <alignment horizontal="centerContinuous" vertical="center"/>
      <protection/>
    </xf>
    <xf numFmtId="49" fontId="9" fillId="0" borderId="11" xfId="0" applyNumberFormat="1" applyFont="1" applyFill="1" applyBorder="1" applyAlignment="1">
      <alignment horizontal="left" indent="1"/>
    </xf>
    <xf numFmtId="164" fontId="11" fillId="0" borderId="10" xfId="84" applyNumberFormat="1" applyFont="1" applyFill="1" applyBorder="1" applyAlignment="1">
      <alignment horizontal="left" vertical="center" wrapText="1"/>
      <protection/>
    </xf>
    <xf numFmtId="0" fontId="40" fillId="0" borderId="10" xfId="83" applyFont="1" applyBorder="1" applyAlignment="1">
      <alignment vertical="center" wrapText="1"/>
      <protection/>
    </xf>
    <xf numFmtId="164" fontId="4" fillId="0" borderId="11" xfId="0" applyNumberFormat="1" applyFont="1" applyFill="1" applyBorder="1" applyAlignment="1">
      <alignment horizontal="center" vertical="center" wrapText="1"/>
    </xf>
    <xf numFmtId="3" fontId="9" fillId="0" borderId="47" xfId="60" applyNumberFormat="1" applyFont="1" applyFill="1" applyBorder="1" applyAlignment="1">
      <alignment vertical="center"/>
      <protection/>
    </xf>
    <xf numFmtId="3" fontId="9" fillId="0" borderId="48" xfId="60" applyNumberFormat="1" applyFont="1" applyFill="1" applyBorder="1" applyAlignment="1">
      <alignment vertical="center"/>
      <protection/>
    </xf>
    <xf numFmtId="3" fontId="11" fillId="0" borderId="48" xfId="60" applyNumberFormat="1" applyFont="1" applyFill="1" applyBorder="1" applyAlignment="1">
      <alignment vertical="center"/>
      <protection/>
    </xf>
    <xf numFmtId="3" fontId="11" fillId="0" borderId="48" xfId="60" applyNumberFormat="1" applyFont="1" applyFill="1" applyBorder="1" applyAlignment="1">
      <alignment horizontal="left" vertical="center" indent="2"/>
      <protection/>
    </xf>
    <xf numFmtId="0" fontId="25" fillId="0" borderId="48" xfId="0" applyFont="1" applyFill="1" applyBorder="1" applyAlignment="1">
      <alignment/>
    </xf>
    <xf numFmtId="3" fontId="9" fillId="0" borderId="28" xfId="60" applyNumberFormat="1" applyFont="1" applyFill="1" applyBorder="1" applyAlignment="1">
      <alignment vertical="center" wrapText="1"/>
      <protection/>
    </xf>
    <xf numFmtId="164" fontId="9" fillId="0" borderId="10" xfId="83" applyNumberFormat="1" applyFont="1" applyBorder="1" applyAlignment="1">
      <alignment vertical="center"/>
      <protection/>
    </xf>
    <xf numFmtId="164" fontId="9" fillId="0" borderId="14" xfId="83" applyNumberFormat="1" applyFont="1" applyBorder="1" applyAlignment="1">
      <alignment vertical="center"/>
      <protection/>
    </xf>
    <xf numFmtId="3" fontId="15" fillId="0" borderId="10" xfId="66" applyNumberFormat="1" applyFont="1" applyFill="1" applyBorder="1" applyAlignment="1" applyProtection="1">
      <alignment vertical="center" wrapText="1"/>
      <protection locked="0"/>
    </xf>
    <xf numFmtId="164" fontId="9" fillId="0" borderId="10" xfId="77" applyNumberFormat="1" applyFont="1" applyFill="1" applyBorder="1" applyAlignment="1">
      <alignment horizontal="center" vertical="center" wrapText="1"/>
      <protection/>
    </xf>
    <xf numFmtId="164" fontId="9" fillId="0" borderId="10" xfId="0" applyNumberFormat="1" applyFont="1" applyFill="1" applyBorder="1" applyAlignment="1">
      <alignment/>
    </xf>
    <xf numFmtId="164" fontId="20" fillId="0" borderId="10" xfId="65" applyNumberFormat="1" applyFont="1" applyFill="1" applyBorder="1" applyAlignment="1">
      <alignment horizontal="left" vertical="center"/>
      <protection/>
    </xf>
    <xf numFmtId="164" fontId="11" fillId="0" borderId="10" xfId="0" applyNumberFormat="1" applyFont="1" applyFill="1" applyBorder="1" applyAlignment="1">
      <alignment horizontal="left" vertical="center" wrapText="1" indent="2"/>
    </xf>
    <xf numFmtId="164" fontId="11" fillId="0" borderId="11" xfId="0" applyNumberFormat="1" applyFont="1" applyFill="1" applyBorder="1" applyAlignment="1">
      <alignment horizontal="left" vertical="center" wrapText="1" indent="2"/>
    </xf>
    <xf numFmtId="3" fontId="24" fillId="0" borderId="25" xfId="66" applyNumberFormat="1" applyFont="1" applyFill="1" applyBorder="1" applyAlignment="1" applyProtection="1">
      <alignment horizontal="left" vertical="center" wrapText="1" indent="2"/>
      <protection locked="0"/>
    </xf>
    <xf numFmtId="3" fontId="24" fillId="0" borderId="10" xfId="66" applyNumberFormat="1" applyFont="1" applyFill="1" applyBorder="1" applyAlignment="1" applyProtection="1">
      <alignment horizontal="left" vertical="center" wrapText="1" indent="2"/>
      <protection locked="0"/>
    </xf>
    <xf numFmtId="3" fontId="24" fillId="0" borderId="10" xfId="66" applyNumberFormat="1" applyFont="1" applyFill="1" applyBorder="1" applyAlignment="1">
      <alignment horizontal="left" vertical="center" wrapText="1" indent="2"/>
      <protection/>
    </xf>
    <xf numFmtId="3" fontId="24" fillId="0" borderId="10" xfId="66" applyNumberFormat="1" applyFont="1" applyFill="1" applyBorder="1" applyAlignment="1" applyProtection="1">
      <alignment horizontal="left" vertical="center" wrapText="1" indent="2"/>
      <protection locked="0"/>
    </xf>
    <xf numFmtId="3" fontId="24" fillId="0" borderId="11" xfId="66" applyNumberFormat="1" applyFont="1" applyFill="1" applyBorder="1" applyAlignment="1" applyProtection="1">
      <alignment horizontal="left" vertical="center" wrapText="1" indent="2"/>
      <protection locked="0"/>
    </xf>
    <xf numFmtId="3" fontId="11" fillId="0" borderId="10" xfId="66" applyNumberFormat="1" applyFont="1" applyFill="1" applyBorder="1" applyAlignment="1" applyProtection="1">
      <alignment horizontal="left" vertical="center" wrapText="1" indent="2"/>
      <protection locked="0"/>
    </xf>
    <xf numFmtId="164" fontId="9" fillId="0" borderId="10" xfId="60" applyNumberFormat="1" applyFont="1" applyFill="1" applyBorder="1" applyAlignment="1">
      <alignment horizontal="left" vertical="center" indent="1"/>
      <protection/>
    </xf>
    <xf numFmtId="3" fontId="11" fillId="0" borderId="23" xfId="0" applyNumberFormat="1" applyFont="1" applyFill="1" applyBorder="1" applyAlignment="1">
      <alignment horizontal="right" vertical="center" wrapText="1"/>
    </xf>
    <xf numFmtId="0" fontId="38" fillId="0" borderId="58" xfId="82" applyFont="1" applyFill="1" applyBorder="1" applyAlignment="1" applyProtection="1">
      <alignment vertical="center" wrapText="1"/>
      <protection locked="0"/>
    </xf>
    <xf numFmtId="0" fontId="38" fillId="0" borderId="26" xfId="82" applyFont="1" applyFill="1" applyBorder="1" applyAlignment="1" applyProtection="1">
      <alignment vertical="center" wrapText="1"/>
      <protection locked="0"/>
    </xf>
    <xf numFmtId="3" fontId="24" fillId="0" borderId="12" xfId="66" applyNumberFormat="1" applyFont="1" applyFill="1" applyBorder="1" applyAlignment="1" applyProtection="1">
      <alignment horizontal="left" vertical="center" wrapText="1"/>
      <protection locked="0"/>
    </xf>
    <xf numFmtId="3" fontId="24" fillId="0" borderId="12" xfId="66" applyNumberFormat="1" applyFont="1" applyFill="1" applyBorder="1" applyAlignment="1" applyProtection="1">
      <alignment horizontal="left" vertical="center" wrapText="1"/>
      <protection locked="0"/>
    </xf>
    <xf numFmtId="0" fontId="11" fillId="0" borderId="12" xfId="77" applyFont="1" applyFill="1" applyBorder="1" applyAlignment="1">
      <alignment horizontal="left" vertical="center"/>
      <protection/>
    </xf>
    <xf numFmtId="164" fontId="24" fillId="0" borderId="30" xfId="66" applyNumberFormat="1" applyFont="1" applyFill="1" applyBorder="1" applyAlignment="1">
      <alignment horizontal="center" vertical="center" wrapText="1"/>
      <protection/>
    </xf>
    <xf numFmtId="3" fontId="24" fillId="0" borderId="0" xfId="66" applyNumberFormat="1" applyFont="1" applyFill="1" applyAlignment="1">
      <alignment vertical="center"/>
      <protection/>
    </xf>
    <xf numFmtId="3" fontId="20" fillId="0" borderId="0" xfId="66" applyNumberFormat="1" applyFont="1" applyFill="1" applyAlignment="1">
      <alignment vertical="center"/>
      <protection/>
    </xf>
    <xf numFmtId="3" fontId="20" fillId="0" borderId="0" xfId="66" applyNumberFormat="1" applyFont="1" applyFill="1" applyAlignment="1">
      <alignment horizontal="center" vertical="center"/>
      <protection/>
    </xf>
    <xf numFmtId="3" fontId="24" fillId="0" borderId="0" xfId="66" applyNumberFormat="1" applyFont="1" applyFill="1" applyAlignment="1">
      <alignment vertical="center" wrapText="1"/>
      <protection/>
    </xf>
    <xf numFmtId="1" fontId="24" fillId="0" borderId="0" xfId="66" applyNumberFormat="1" applyFont="1" applyFill="1" applyAlignment="1">
      <alignment horizontal="center" vertical="center"/>
      <protection/>
    </xf>
    <xf numFmtId="164" fontId="24" fillId="0" borderId="0" xfId="66" applyNumberFormat="1" applyFont="1" applyFill="1" applyAlignment="1">
      <alignment vertical="center"/>
      <protection/>
    </xf>
    <xf numFmtId="164" fontId="24" fillId="0" borderId="0" xfId="66" applyNumberFormat="1" applyFont="1" applyFill="1" applyAlignment="1">
      <alignment horizontal="right" vertical="center"/>
      <protection/>
    </xf>
    <xf numFmtId="3" fontId="24" fillId="0" borderId="12" xfId="66" applyNumberFormat="1" applyFont="1" applyFill="1" applyBorder="1" applyAlignment="1">
      <alignment horizontal="center" vertical="center"/>
      <protection/>
    </xf>
    <xf numFmtId="3" fontId="24" fillId="0" borderId="40" xfId="66" applyNumberFormat="1" applyFont="1" applyFill="1" applyBorder="1" applyAlignment="1" applyProtection="1">
      <alignment vertical="center" wrapText="1"/>
      <protection locked="0"/>
    </xf>
    <xf numFmtId="1" fontId="24" fillId="0" borderId="10" xfId="66" applyNumberFormat="1" applyFont="1" applyFill="1" applyBorder="1" applyAlignment="1" applyProtection="1">
      <alignment horizontal="center" vertical="center"/>
      <protection locked="0"/>
    </xf>
    <xf numFmtId="164" fontId="24" fillId="0" borderId="10" xfId="66" applyNumberFormat="1" applyFont="1" applyFill="1" applyBorder="1" applyAlignment="1" applyProtection="1">
      <alignment vertical="center"/>
      <protection locked="0"/>
    </xf>
    <xf numFmtId="3" fontId="24" fillId="0" borderId="50" xfId="66" applyNumberFormat="1" applyFont="1" applyFill="1" applyBorder="1" applyAlignment="1">
      <alignment horizontal="center" vertical="center"/>
      <protection/>
    </xf>
    <xf numFmtId="1" fontId="24" fillId="0" borderId="10" xfId="66" applyNumberFormat="1" applyFont="1" applyFill="1" applyBorder="1" applyAlignment="1" applyProtection="1">
      <alignment horizontal="center" vertical="center"/>
      <protection locked="0"/>
    </xf>
    <xf numFmtId="164" fontId="24" fillId="0" borderId="10" xfId="66" applyNumberFormat="1" applyFont="1" applyFill="1" applyBorder="1" applyAlignment="1" applyProtection="1">
      <alignment vertical="center"/>
      <protection locked="0"/>
    </xf>
    <xf numFmtId="3" fontId="24" fillId="0" borderId="0" xfId="66" applyNumberFormat="1" applyFont="1" applyFill="1" applyAlignment="1">
      <alignment vertical="center"/>
      <protection/>
    </xf>
    <xf numFmtId="3" fontId="24" fillId="0" borderId="40" xfId="66" applyNumberFormat="1" applyFont="1" applyFill="1" applyBorder="1" applyAlignment="1" applyProtection="1">
      <alignment vertical="center" wrapText="1"/>
      <protection locked="0"/>
    </xf>
    <xf numFmtId="3" fontId="24" fillId="0" borderId="40" xfId="66" applyNumberFormat="1" applyFont="1" applyFill="1" applyBorder="1" applyAlignment="1" applyProtection="1">
      <alignment horizontal="justify" vertical="center" wrapText="1"/>
      <protection locked="0"/>
    </xf>
    <xf numFmtId="3" fontId="24" fillId="0" borderId="56" xfId="66" applyNumberFormat="1" applyFont="1" applyFill="1" applyBorder="1" applyAlignment="1">
      <alignment horizontal="center" vertical="center"/>
      <protection/>
    </xf>
    <xf numFmtId="3" fontId="24" fillId="0" borderId="43" xfId="66" applyNumberFormat="1" applyFont="1" applyFill="1" applyBorder="1" applyAlignment="1" applyProtection="1">
      <alignment horizontal="justify" vertical="center" wrapText="1"/>
      <protection locked="0"/>
    </xf>
    <xf numFmtId="1" fontId="24" fillId="0" borderId="11" xfId="66" applyNumberFormat="1" applyFont="1" applyFill="1" applyBorder="1" applyAlignment="1" applyProtection="1">
      <alignment horizontal="center" vertical="center"/>
      <protection locked="0"/>
    </xf>
    <xf numFmtId="164" fontId="24" fillId="0" borderId="11" xfId="66" applyNumberFormat="1" applyFont="1" applyFill="1" applyBorder="1" applyAlignment="1" applyProtection="1">
      <alignment vertical="center"/>
      <protection locked="0"/>
    </xf>
    <xf numFmtId="164" fontId="24" fillId="0" borderId="11" xfId="66" applyNumberFormat="1" applyFont="1" applyFill="1" applyBorder="1" applyAlignment="1" applyProtection="1">
      <alignment vertical="center"/>
      <protection locked="0"/>
    </xf>
    <xf numFmtId="164" fontId="20" fillId="0" borderId="16" xfId="66" applyNumberFormat="1" applyFont="1" applyFill="1" applyBorder="1" applyAlignment="1">
      <alignment vertical="center"/>
      <protection/>
    </xf>
    <xf numFmtId="3" fontId="20" fillId="0" borderId="13" xfId="66" applyNumberFormat="1" applyFont="1" applyFill="1" applyBorder="1" applyAlignment="1">
      <alignment vertical="center"/>
      <protection/>
    </xf>
    <xf numFmtId="1" fontId="24" fillId="0" borderId="0" xfId="66" applyNumberFormat="1" applyFont="1" applyFill="1" applyBorder="1" applyAlignment="1">
      <alignment horizontal="center" vertical="center"/>
      <protection/>
    </xf>
    <xf numFmtId="164" fontId="24" fillId="0" borderId="0" xfId="66" applyNumberFormat="1" applyFont="1" applyFill="1" applyBorder="1" applyAlignment="1">
      <alignment vertical="center"/>
      <protection/>
    </xf>
    <xf numFmtId="3" fontId="24" fillId="0" borderId="0" xfId="66" applyNumberFormat="1" applyFont="1" applyFill="1" applyBorder="1" applyAlignment="1">
      <alignment vertical="center" wrapText="1"/>
      <protection/>
    </xf>
    <xf numFmtId="164" fontId="24" fillId="0" borderId="0" xfId="66" applyNumberFormat="1" applyFont="1" applyFill="1" applyBorder="1" applyAlignment="1">
      <alignment horizontal="centerContinuous" vertical="center"/>
      <protection/>
    </xf>
    <xf numFmtId="3" fontId="24" fillId="0" borderId="14" xfId="66" applyNumberFormat="1" applyFont="1" applyFill="1" applyBorder="1" applyAlignment="1" applyProtection="1">
      <alignment horizontal="right" vertical="center" wrapText="1"/>
      <protection locked="0"/>
    </xf>
    <xf numFmtId="3" fontId="24" fillId="0" borderId="14" xfId="66" applyNumberFormat="1" applyFont="1" applyFill="1" applyBorder="1" applyAlignment="1" applyProtection="1">
      <alignment horizontal="right" vertical="center"/>
      <protection locked="0"/>
    </xf>
    <xf numFmtId="3" fontId="24" fillId="0" borderId="14" xfId="66" applyNumberFormat="1" applyFont="1" applyFill="1" applyBorder="1" applyAlignment="1">
      <alignment horizontal="right" vertical="center" wrapText="1"/>
      <protection/>
    </xf>
    <xf numFmtId="164" fontId="19" fillId="0" borderId="0" xfId="62" applyNumberFormat="1" applyFont="1" applyFill="1" applyAlignment="1">
      <alignment vertical="center"/>
      <protection/>
    </xf>
    <xf numFmtId="164" fontId="23" fillId="0" borderId="0" xfId="62" applyNumberFormat="1" applyFont="1" applyFill="1" applyAlignment="1">
      <alignment horizontal="center" vertical="center" wrapText="1"/>
      <protection/>
    </xf>
    <xf numFmtId="164" fontId="19" fillId="0" borderId="25" xfId="60" applyNumberFormat="1" applyFont="1" applyFill="1" applyBorder="1" applyAlignment="1">
      <alignment horizontal="right" vertical="center"/>
      <protection/>
    </xf>
    <xf numFmtId="164" fontId="19" fillId="0" borderId="25" xfId="62" applyNumberFormat="1" applyFont="1" applyFill="1" applyBorder="1" applyAlignment="1">
      <alignment vertical="center"/>
      <protection/>
    </xf>
    <xf numFmtId="164" fontId="19" fillId="0" borderId="52" xfId="62" applyNumberFormat="1" applyFont="1" applyFill="1" applyBorder="1" applyAlignment="1">
      <alignment vertical="center"/>
      <protection/>
    </xf>
    <xf numFmtId="164" fontId="19" fillId="0" borderId="10" xfId="60" applyNumberFormat="1" applyFont="1" applyFill="1" applyBorder="1" applyAlignment="1">
      <alignment horizontal="right" vertical="center"/>
      <protection/>
    </xf>
    <xf numFmtId="164" fontId="19" fillId="0" borderId="10" xfId="62" applyNumberFormat="1" applyFont="1" applyFill="1" applyBorder="1" applyAlignment="1">
      <alignment vertical="center"/>
      <protection/>
    </xf>
    <xf numFmtId="164" fontId="19" fillId="0" borderId="14" xfId="62" applyNumberFormat="1" applyFont="1" applyFill="1" applyBorder="1" applyAlignment="1">
      <alignment vertical="center"/>
      <protection/>
    </xf>
    <xf numFmtId="164" fontId="19" fillId="0" borderId="0" xfId="60" applyNumberFormat="1" applyFont="1" applyFill="1" applyBorder="1" applyAlignment="1">
      <alignment vertical="center"/>
      <protection/>
    </xf>
    <xf numFmtId="164" fontId="19" fillId="0" borderId="26" xfId="60" applyNumberFormat="1" applyFont="1" applyFill="1" applyBorder="1" applyAlignment="1">
      <alignment horizontal="right" vertical="center"/>
      <protection/>
    </xf>
    <xf numFmtId="164" fontId="19" fillId="0" borderId="26" xfId="62" applyNumberFormat="1" applyFont="1" applyFill="1" applyBorder="1" applyAlignment="1">
      <alignment vertical="center"/>
      <protection/>
    </xf>
    <xf numFmtId="164" fontId="19" fillId="0" borderId="59" xfId="62" applyNumberFormat="1" applyFont="1" applyFill="1" applyBorder="1" applyAlignment="1">
      <alignment vertical="center"/>
      <protection/>
    </xf>
    <xf numFmtId="164" fontId="23" fillId="0" borderId="17" xfId="60" applyNumberFormat="1" applyFont="1" applyFill="1" applyBorder="1" applyAlignment="1">
      <alignment vertical="center"/>
      <protection/>
    </xf>
    <xf numFmtId="164" fontId="23" fillId="0" borderId="16" xfId="60" applyNumberFormat="1" applyFont="1" applyFill="1" applyBorder="1" applyAlignment="1">
      <alignment horizontal="right" vertical="center"/>
      <protection/>
    </xf>
    <xf numFmtId="164" fontId="23" fillId="0" borderId="13" xfId="60" applyNumberFormat="1" applyFont="1" applyFill="1" applyBorder="1" applyAlignment="1">
      <alignment horizontal="right" vertical="center"/>
      <protection/>
    </xf>
    <xf numFmtId="164" fontId="19" fillId="0" borderId="39" xfId="60" applyNumberFormat="1" applyFont="1" applyFill="1" applyBorder="1" applyAlignment="1">
      <alignment horizontal="right" vertical="center"/>
      <protection/>
    </xf>
    <xf numFmtId="164" fontId="19" fillId="0" borderId="39" xfId="62" applyNumberFormat="1" applyFont="1" applyFill="1" applyBorder="1" applyAlignment="1">
      <alignment vertical="center"/>
      <protection/>
    </xf>
    <xf numFmtId="164" fontId="19" fillId="0" borderId="11" xfId="60" applyNumberFormat="1" applyFont="1" applyFill="1" applyBorder="1" applyAlignment="1">
      <alignment horizontal="right" vertical="center"/>
      <protection/>
    </xf>
    <xf numFmtId="164" fontId="19" fillId="0" borderId="11" xfId="62" applyNumberFormat="1" applyFont="1" applyFill="1" applyBorder="1" applyAlignment="1">
      <alignment vertical="center"/>
      <protection/>
    </xf>
    <xf numFmtId="164" fontId="23" fillId="0" borderId="17" xfId="62" applyNumberFormat="1" applyFont="1" applyFill="1" applyBorder="1" applyAlignment="1">
      <alignment vertical="center"/>
      <protection/>
    </xf>
    <xf numFmtId="164" fontId="23" fillId="0" borderId="16" xfId="62" applyNumberFormat="1" applyFont="1" applyFill="1" applyBorder="1" applyAlignment="1">
      <alignment vertical="center"/>
      <protection/>
    </xf>
    <xf numFmtId="164" fontId="23" fillId="0" borderId="13" xfId="62" applyNumberFormat="1" applyFont="1" applyFill="1" applyBorder="1" applyAlignment="1">
      <alignment vertical="center"/>
      <protection/>
    </xf>
    <xf numFmtId="164" fontId="23" fillId="0" borderId="0" xfId="62" applyNumberFormat="1" applyFont="1" applyFill="1" applyAlignment="1">
      <alignment vertical="center"/>
      <protection/>
    </xf>
    <xf numFmtId="164" fontId="24" fillId="0" borderId="10" xfId="62" applyNumberFormat="1" applyFont="1" applyBorder="1" applyAlignment="1" applyProtection="1">
      <alignment horizontal="center" vertical="center" wrapText="1"/>
      <protection locked="0"/>
    </xf>
    <xf numFmtId="164" fontId="24" fillId="24" borderId="23" xfId="62" applyNumberFormat="1" applyFont="1" applyFill="1" applyBorder="1" applyAlignment="1" applyProtection="1">
      <alignment horizontal="center" vertical="center" wrapText="1"/>
      <protection/>
    </xf>
    <xf numFmtId="164" fontId="11" fillId="0" borderId="56" xfId="0" applyNumberFormat="1" applyFont="1" applyFill="1" applyBorder="1" applyAlignment="1">
      <alignment horizontal="left" vertical="center" wrapText="1"/>
    </xf>
    <xf numFmtId="164" fontId="5" fillId="0" borderId="0" xfId="0" applyNumberFormat="1" applyFont="1" applyFill="1" applyAlignment="1">
      <alignment horizontal="justify" vertical="center"/>
    </xf>
    <xf numFmtId="164" fontId="5" fillId="0" borderId="0" xfId="0" applyNumberFormat="1" applyFont="1" applyFill="1" applyAlignment="1">
      <alignment horizontal="right" vertical="center"/>
    </xf>
    <xf numFmtId="164" fontId="5" fillId="0" borderId="25" xfId="0" applyNumberFormat="1" applyFont="1" applyFill="1" applyBorder="1" applyAlignment="1">
      <alignment horizontal="justify" vertical="center"/>
    </xf>
    <xf numFmtId="164" fontId="5" fillId="0" borderId="10" xfId="0" applyNumberFormat="1" applyFont="1" applyFill="1" applyBorder="1" applyAlignment="1">
      <alignment horizontal="justify" vertical="center"/>
    </xf>
    <xf numFmtId="164" fontId="5" fillId="0" borderId="10" xfId="0" applyNumberFormat="1" applyFont="1" applyFill="1" applyBorder="1" applyAlignment="1">
      <alignment horizontal="justify" vertical="center" wrapText="1"/>
    </xf>
    <xf numFmtId="164" fontId="5" fillId="0" borderId="26" xfId="0" applyNumberFormat="1" applyFont="1" applyFill="1" applyBorder="1" applyAlignment="1">
      <alignment horizontal="justify" vertical="center" wrapText="1"/>
    </xf>
    <xf numFmtId="0" fontId="60" fillId="0" borderId="10" xfId="0" applyFont="1" applyFill="1" applyBorder="1" applyAlignment="1">
      <alignment horizontal="justify" vertical="center" wrapText="1"/>
    </xf>
    <xf numFmtId="164" fontId="5" fillId="0" borderId="25" xfId="0" applyNumberFormat="1" applyFont="1" applyFill="1" applyBorder="1" applyAlignment="1">
      <alignment horizontal="justify" vertical="center" wrapText="1"/>
    </xf>
    <xf numFmtId="164" fontId="5" fillId="0" borderId="22" xfId="0" applyNumberFormat="1" applyFont="1" applyFill="1" applyBorder="1" applyAlignment="1">
      <alignment horizontal="left" vertical="center"/>
    </xf>
    <xf numFmtId="164" fontId="5" fillId="0" borderId="23" xfId="0" applyNumberFormat="1" applyFont="1" applyFill="1" applyBorder="1" applyAlignment="1">
      <alignment horizontal="justify" vertical="center"/>
    </xf>
    <xf numFmtId="164" fontId="4" fillId="0" borderId="23" xfId="0" applyNumberFormat="1" applyFont="1" applyFill="1" applyBorder="1" applyAlignment="1">
      <alignment horizontal="center" vertical="center"/>
    </xf>
    <xf numFmtId="164" fontId="5" fillId="0" borderId="23" xfId="0" applyNumberFormat="1" applyFont="1" applyFill="1" applyBorder="1" applyAlignment="1">
      <alignment horizontal="right" vertical="center"/>
    </xf>
    <xf numFmtId="164" fontId="5" fillId="22" borderId="23" xfId="0" applyNumberFormat="1" applyFont="1" applyFill="1" applyBorder="1" applyAlignment="1">
      <alignment horizontal="right" vertical="center"/>
    </xf>
    <xf numFmtId="164" fontId="5" fillId="0" borderId="51" xfId="80" applyNumberFormat="1" applyFont="1" applyFill="1" applyBorder="1" applyAlignment="1">
      <alignment horizontal="left" vertical="center" wrapText="1"/>
      <protection/>
    </xf>
    <xf numFmtId="164" fontId="5" fillId="0" borderId="12" xfId="80" applyNumberFormat="1" applyFont="1" applyFill="1" applyBorder="1" applyAlignment="1">
      <alignment horizontal="left" vertical="center" wrapText="1"/>
      <protection/>
    </xf>
    <xf numFmtId="164" fontId="5" fillId="0" borderId="56" xfId="80" applyNumberFormat="1" applyFont="1" applyFill="1" applyBorder="1" applyAlignment="1">
      <alignment horizontal="left" vertical="center" wrapText="1"/>
      <protection/>
    </xf>
    <xf numFmtId="164" fontId="5" fillId="0" borderId="0" xfId="0" applyNumberFormat="1" applyFont="1" applyFill="1" applyBorder="1" applyAlignment="1">
      <alignment horizontal="justify" vertical="center" wrapText="1"/>
    </xf>
    <xf numFmtId="164" fontId="5" fillId="0" borderId="66" xfId="0" applyNumberFormat="1" applyFont="1" applyFill="1" applyBorder="1" applyAlignment="1">
      <alignment horizontal="justify" vertical="center" wrapText="1"/>
    </xf>
    <xf numFmtId="164" fontId="5" fillId="0" borderId="70" xfId="0" applyNumberFormat="1" applyFont="1" applyFill="1" applyBorder="1" applyAlignment="1">
      <alignment horizontal="justify" vertical="center"/>
    </xf>
    <xf numFmtId="164" fontId="5" fillId="0" borderId="27" xfId="0" applyNumberFormat="1" applyFont="1" applyFill="1" applyBorder="1" applyAlignment="1">
      <alignment horizontal="justify" vertical="center" wrapText="1"/>
    </xf>
    <xf numFmtId="164" fontId="5" fillId="0" borderId="66" xfId="0" applyNumberFormat="1" applyFont="1" applyFill="1" applyBorder="1" applyAlignment="1">
      <alignment horizontal="justify" vertical="center"/>
    </xf>
    <xf numFmtId="164" fontId="5" fillId="0" borderId="77" xfId="0" applyNumberFormat="1" applyFont="1" applyFill="1" applyBorder="1" applyAlignment="1">
      <alignment horizontal="justify" vertical="center"/>
    </xf>
    <xf numFmtId="164" fontId="5" fillId="0" borderId="0" xfId="0" applyNumberFormat="1" applyFont="1" applyFill="1" applyBorder="1" applyAlignment="1">
      <alignment horizontal="justify" vertical="center"/>
    </xf>
    <xf numFmtId="164" fontId="5" fillId="0" borderId="78" xfId="0" applyNumberFormat="1" applyFont="1" applyFill="1" applyBorder="1" applyAlignment="1">
      <alignment horizontal="justify" vertical="center"/>
    </xf>
    <xf numFmtId="164" fontId="5" fillId="0" borderId="83" xfId="0" applyNumberFormat="1" applyFont="1" applyFill="1" applyBorder="1" applyAlignment="1">
      <alignment horizontal="justify" vertical="center"/>
    </xf>
    <xf numFmtId="164" fontId="5" fillId="0" borderId="0" xfId="0" applyNumberFormat="1" applyFont="1" applyFill="1" applyAlignment="1">
      <alignment horizontal="justify" vertical="center" wrapText="1"/>
    </xf>
    <xf numFmtId="164" fontId="24" fillId="0" borderId="39" xfId="62" applyNumberFormat="1" applyFont="1" applyBorder="1" applyAlignment="1">
      <alignment horizontal="center" vertical="center" wrapText="1"/>
      <protection/>
    </xf>
    <xf numFmtId="164" fontId="24" fillId="0" borderId="30" xfId="62" applyNumberFormat="1" applyFont="1" applyBorder="1" applyAlignment="1">
      <alignment horizontal="center" vertical="center"/>
      <protection/>
    </xf>
    <xf numFmtId="164" fontId="24" fillId="0" borderId="30" xfId="62" applyNumberFormat="1" applyFont="1" applyBorder="1" applyAlignment="1">
      <alignment horizontal="center" vertical="center" wrapText="1"/>
      <protection/>
    </xf>
    <xf numFmtId="164" fontId="11" fillId="0" borderId="25" xfId="62" applyNumberFormat="1" applyFont="1" applyBorder="1" applyAlignment="1">
      <alignment horizontal="right" vertical="center" wrapText="1"/>
      <protection/>
    </xf>
    <xf numFmtId="164" fontId="11" fillId="0" borderId="52" xfId="62" applyNumberFormat="1" applyFont="1" applyBorder="1" applyAlignment="1">
      <alignment horizontal="right" vertical="center" wrapText="1"/>
      <protection/>
    </xf>
    <xf numFmtId="49" fontId="11" fillId="0" borderId="56" xfId="0" applyNumberFormat="1" applyFont="1" applyFill="1" applyBorder="1" applyAlignment="1">
      <alignment vertical="center"/>
    </xf>
    <xf numFmtId="164" fontId="11" fillId="0" borderId="26" xfId="62" applyNumberFormat="1" applyFont="1" applyBorder="1" applyAlignment="1">
      <alignment horizontal="right" vertical="center" wrapText="1"/>
      <protection/>
    </xf>
    <xf numFmtId="164" fontId="11" fillId="0" borderId="59" xfId="62" applyNumberFormat="1" applyFont="1" applyBorder="1" applyAlignment="1">
      <alignment horizontal="right" vertical="center" wrapText="1"/>
      <protection/>
    </xf>
    <xf numFmtId="164" fontId="19" fillId="0" borderId="0" xfId="62" applyNumberFormat="1" applyFont="1" applyFill="1" applyAlignment="1">
      <alignment horizontal="center" vertical="center" wrapText="1"/>
      <protection/>
    </xf>
    <xf numFmtId="164" fontId="19" fillId="0" borderId="0" xfId="62" applyNumberFormat="1" applyFont="1" applyFill="1" applyAlignment="1">
      <alignment vertical="center" wrapText="1"/>
      <protection/>
    </xf>
    <xf numFmtId="164" fontId="19" fillId="0" borderId="0" xfId="62" applyNumberFormat="1" applyFont="1" applyFill="1" applyAlignment="1">
      <alignment horizontal="right" vertical="center" wrapText="1"/>
      <protection/>
    </xf>
    <xf numFmtId="164" fontId="23" fillId="0" borderId="17" xfId="62" applyNumberFormat="1" applyFont="1" applyFill="1" applyBorder="1" applyAlignment="1">
      <alignment horizontal="center" vertical="center" wrapText="1"/>
      <protection/>
    </xf>
    <xf numFmtId="164" fontId="23" fillId="0" borderId="16" xfId="62" applyNumberFormat="1" applyFont="1" applyFill="1" applyBorder="1" applyAlignment="1">
      <alignment horizontal="center" vertical="center" wrapText="1"/>
      <protection/>
    </xf>
    <xf numFmtId="164" fontId="23" fillId="0" borderId="13" xfId="62" applyNumberFormat="1" applyFont="1" applyFill="1" applyBorder="1" applyAlignment="1">
      <alignment horizontal="center" vertical="center" wrapText="1"/>
      <protection/>
    </xf>
    <xf numFmtId="0" fontId="19" fillId="0" borderId="25" xfId="62" applyNumberFormat="1" applyFont="1" applyFill="1" applyBorder="1" applyAlignment="1" applyProtection="1">
      <alignment horizontal="center" vertical="center" wrapText="1"/>
      <protection locked="0"/>
    </xf>
    <xf numFmtId="164" fontId="19" fillId="0" borderId="25" xfId="62" applyNumberFormat="1" applyFont="1" applyFill="1" applyBorder="1" applyAlignment="1" applyProtection="1">
      <alignment horizontal="right" vertical="center" wrapText="1"/>
      <protection locked="0"/>
    </xf>
    <xf numFmtId="164" fontId="19" fillId="0" borderId="25" xfId="62" applyNumberFormat="1" applyFont="1" applyFill="1" applyBorder="1" applyAlignment="1" applyProtection="1">
      <alignment vertical="center" wrapText="1"/>
      <protection locked="0"/>
    </xf>
    <xf numFmtId="164" fontId="19" fillId="0" borderId="52" xfId="62" applyNumberFormat="1" applyFont="1" applyFill="1" applyBorder="1" applyAlignment="1" applyProtection="1">
      <alignment vertical="center" wrapText="1"/>
      <protection locked="0"/>
    </xf>
    <xf numFmtId="164" fontId="23" fillId="0" borderId="0" xfId="62" applyNumberFormat="1" applyFont="1" applyFill="1" applyAlignment="1">
      <alignment vertical="center" wrapText="1"/>
      <protection/>
    </xf>
    <xf numFmtId="0" fontId="19" fillId="0" borderId="10" xfId="62" applyNumberFormat="1" applyFont="1" applyFill="1" applyBorder="1" applyAlignment="1" applyProtection="1">
      <alignment horizontal="center" vertical="center" wrapText="1"/>
      <protection locked="0"/>
    </xf>
    <xf numFmtId="164" fontId="19" fillId="0" borderId="10" xfId="62" applyNumberFormat="1" applyFont="1" applyFill="1" applyBorder="1" applyAlignment="1" applyProtection="1">
      <alignment horizontal="right" vertical="center" wrapText="1"/>
      <protection locked="0"/>
    </xf>
    <xf numFmtId="164" fontId="19" fillId="0" borderId="10" xfId="62" applyNumberFormat="1" applyFont="1" applyFill="1" applyBorder="1" applyAlignment="1" applyProtection="1">
      <alignment vertical="center" wrapText="1"/>
      <protection locked="0"/>
    </xf>
    <xf numFmtId="164" fontId="19" fillId="0" borderId="14" xfId="62" applyNumberFormat="1" applyFont="1" applyFill="1" applyBorder="1" applyAlignment="1" applyProtection="1">
      <alignment vertical="center" wrapText="1"/>
      <protection locked="0"/>
    </xf>
    <xf numFmtId="3" fontId="3" fillId="0" borderId="12" xfId="66" applyNumberFormat="1" applyFont="1" applyFill="1" applyBorder="1" applyAlignment="1" applyProtection="1">
      <alignment horizontal="left" vertical="center" wrapText="1"/>
      <protection locked="0"/>
    </xf>
    <xf numFmtId="49" fontId="19" fillId="0" borderId="12" xfId="0" applyNumberFormat="1" applyFont="1" applyFill="1" applyBorder="1" applyAlignment="1">
      <alignment horizontal="left"/>
    </xf>
    <xf numFmtId="49" fontId="19" fillId="0" borderId="12" xfId="0" applyNumberFormat="1" applyFont="1" applyFill="1" applyBorder="1" applyAlignment="1">
      <alignment horizontal="left" vertical="center"/>
    </xf>
    <xf numFmtId="49" fontId="19" fillId="0" borderId="56" xfId="0" applyNumberFormat="1" applyFont="1" applyFill="1" applyBorder="1" applyAlignment="1">
      <alignment horizontal="left" vertical="center"/>
    </xf>
    <xf numFmtId="0" fontId="19" fillId="0" borderId="26" xfId="62" applyNumberFormat="1" applyFont="1" applyFill="1" applyBorder="1" applyAlignment="1" applyProtection="1">
      <alignment horizontal="center" vertical="center" wrapText="1"/>
      <protection locked="0"/>
    </xf>
    <xf numFmtId="164" fontId="19" fillId="0" borderId="26" xfId="62" applyNumberFormat="1" applyFont="1" applyFill="1" applyBorder="1" applyAlignment="1" applyProtection="1">
      <alignment horizontal="right" vertical="center" wrapText="1"/>
      <protection locked="0"/>
    </xf>
    <xf numFmtId="164" fontId="19" fillId="0" borderId="26" xfId="62" applyNumberFormat="1" applyFont="1" applyFill="1" applyBorder="1" applyAlignment="1" applyProtection="1">
      <alignment vertical="center" wrapText="1"/>
      <protection locked="0"/>
    </xf>
    <xf numFmtId="164" fontId="19" fillId="0" borderId="59" xfId="62" applyNumberFormat="1" applyFont="1" applyFill="1" applyBorder="1" applyAlignment="1" applyProtection="1">
      <alignment vertical="center" wrapText="1"/>
      <protection locked="0"/>
    </xf>
    <xf numFmtId="164" fontId="23" fillId="0" borderId="17" xfId="62" applyNumberFormat="1" applyFont="1" applyFill="1" applyBorder="1" applyAlignment="1">
      <alignment horizontal="left" vertical="center" wrapText="1"/>
      <protection/>
    </xf>
    <xf numFmtId="164" fontId="23" fillId="0" borderId="16" xfId="62" applyNumberFormat="1" applyFont="1" applyFill="1" applyBorder="1" applyAlignment="1">
      <alignment vertical="center" wrapText="1"/>
      <protection/>
    </xf>
    <xf numFmtId="164" fontId="23" fillId="0" borderId="16" xfId="62" applyNumberFormat="1" applyFont="1" applyFill="1" applyBorder="1" applyAlignment="1" applyProtection="1">
      <alignment horizontal="center" vertical="center" wrapText="1"/>
      <protection locked="0"/>
    </xf>
    <xf numFmtId="164" fontId="23" fillId="0" borderId="13" xfId="62" applyNumberFormat="1" applyFont="1" applyFill="1" applyBorder="1" applyAlignment="1">
      <alignment vertical="center" wrapText="1"/>
      <protection/>
    </xf>
    <xf numFmtId="164" fontId="23" fillId="0" borderId="31" xfId="62" applyNumberFormat="1" applyFont="1" applyFill="1" applyBorder="1" applyAlignment="1">
      <alignment horizontal="center" vertical="center" wrapText="1"/>
      <protection/>
    </xf>
    <xf numFmtId="164" fontId="19" fillId="0" borderId="25" xfId="62" applyNumberFormat="1" applyFont="1" applyFill="1" applyBorder="1" applyAlignment="1" applyProtection="1">
      <alignment horizontal="center" vertical="center" wrapText="1"/>
      <protection locked="0"/>
    </xf>
    <xf numFmtId="164" fontId="19" fillId="0" borderId="25" xfId="62" applyNumberFormat="1" applyFont="1" applyFill="1" applyBorder="1" applyAlignment="1" applyProtection="1">
      <alignment horizontal="right" vertical="center" wrapText="1"/>
      <protection/>
    </xf>
    <xf numFmtId="164" fontId="19" fillId="0" borderId="25" xfId="62" applyNumberFormat="1" applyFont="1" applyFill="1" applyBorder="1" applyAlignment="1" applyProtection="1">
      <alignment vertical="center" wrapText="1"/>
      <protection/>
    </xf>
    <xf numFmtId="164" fontId="19" fillId="0" borderId="52" xfId="62" applyNumberFormat="1" applyFont="1" applyFill="1" applyBorder="1" applyAlignment="1">
      <alignment vertical="center" wrapText="1"/>
      <protection/>
    </xf>
    <xf numFmtId="164" fontId="19" fillId="0" borderId="10" xfId="62" applyNumberFormat="1" applyFont="1" applyFill="1" applyBorder="1" applyAlignment="1" applyProtection="1">
      <alignment horizontal="center" vertical="center" wrapText="1"/>
      <protection locked="0"/>
    </xf>
    <xf numFmtId="164" fontId="19" fillId="0" borderId="10" xfId="62" applyNumberFormat="1" applyFont="1" applyFill="1" applyBorder="1" applyAlignment="1" applyProtection="1">
      <alignment horizontal="right" vertical="center" wrapText="1"/>
      <protection/>
    </xf>
    <xf numFmtId="164" fontId="19" fillId="0" borderId="10" xfId="62" applyNumberFormat="1" applyFont="1" applyFill="1" applyBorder="1" applyAlignment="1" applyProtection="1">
      <alignment vertical="center" wrapText="1"/>
      <protection/>
    </xf>
    <xf numFmtId="164" fontId="19" fillId="0" borderId="14" xfId="62" applyNumberFormat="1" applyFont="1" applyFill="1" applyBorder="1" applyAlignment="1">
      <alignment vertical="center" wrapText="1"/>
      <protection/>
    </xf>
    <xf numFmtId="0" fontId="19" fillId="0" borderId="24" xfId="77" applyFont="1" applyFill="1" applyBorder="1" applyAlignment="1">
      <alignment horizontal="left" vertical="center"/>
      <protection/>
    </xf>
    <xf numFmtId="0" fontId="19" fillId="0" borderId="11" xfId="62" applyNumberFormat="1" applyFont="1" applyFill="1" applyBorder="1" applyAlignment="1" applyProtection="1">
      <alignment horizontal="center" vertical="center" wrapText="1"/>
      <protection locked="0"/>
    </xf>
    <xf numFmtId="164" fontId="19" fillId="0" borderId="11" xfId="62" applyNumberFormat="1" applyFont="1" applyFill="1" applyBorder="1" applyAlignment="1" applyProtection="1">
      <alignment horizontal="right" vertical="center" wrapText="1"/>
      <protection locked="0"/>
    </xf>
    <xf numFmtId="164" fontId="19" fillId="0" borderId="11" xfId="62" applyNumberFormat="1" applyFont="1" applyFill="1" applyBorder="1" applyAlignment="1" applyProtection="1">
      <alignment vertical="center" wrapText="1"/>
      <protection locked="0"/>
    </xf>
    <xf numFmtId="164" fontId="19" fillId="0" borderId="15" xfId="62" applyNumberFormat="1" applyFont="1" applyFill="1" applyBorder="1" applyAlignment="1" applyProtection="1">
      <alignment vertical="center" wrapText="1"/>
      <protection locked="0"/>
    </xf>
    <xf numFmtId="164" fontId="19" fillId="0" borderId="0" xfId="62" applyNumberFormat="1" applyFont="1" applyFill="1" applyAlignment="1" applyProtection="1">
      <alignment vertical="center" wrapText="1"/>
      <protection/>
    </xf>
    <xf numFmtId="164" fontId="3" fillId="0" borderId="112" xfId="58" applyNumberFormat="1" applyFont="1" applyFill="1" applyBorder="1" applyAlignment="1">
      <alignment horizontal="right" vertical="center"/>
      <protection/>
    </xf>
    <xf numFmtId="164" fontId="18" fillId="0" borderId="112" xfId="58" applyNumberFormat="1" applyFont="1" applyBorder="1" applyAlignment="1">
      <alignment vertical="center"/>
      <protection/>
    </xf>
    <xf numFmtId="164" fontId="18" fillId="0" borderId="39" xfId="58" applyNumberFormat="1" applyFont="1" applyBorder="1" applyAlignment="1">
      <alignment vertical="center"/>
      <protection/>
    </xf>
    <xf numFmtId="164" fontId="18" fillId="0" borderId="48" xfId="58" applyNumberFormat="1" applyFont="1" applyFill="1" applyBorder="1" applyAlignment="1">
      <alignment horizontal="center" vertical="center"/>
      <protection/>
    </xf>
    <xf numFmtId="164" fontId="18" fillId="0" borderId="39" xfId="58" applyNumberFormat="1" applyFont="1" applyFill="1" applyBorder="1" applyAlignment="1">
      <alignment vertical="center"/>
      <protection/>
    </xf>
    <xf numFmtId="2" fontId="3" fillId="0" borderId="38" xfId="58" applyNumberFormat="1" applyFont="1" applyFill="1" applyBorder="1" applyAlignment="1">
      <alignment horizontal="center" vertical="center"/>
      <protection/>
    </xf>
    <xf numFmtId="164" fontId="18" fillId="0" borderId="48" xfId="58" applyNumberFormat="1" applyFont="1" applyFill="1" applyBorder="1" applyAlignment="1">
      <alignment vertical="center"/>
      <protection/>
    </xf>
    <xf numFmtId="164" fontId="18" fillId="0" borderId="38" xfId="58" applyNumberFormat="1" applyFont="1" applyBorder="1" applyAlignment="1">
      <alignment vertical="center"/>
      <protection/>
    </xf>
    <xf numFmtId="164" fontId="18" fillId="0" borderId="113" xfId="58" applyNumberFormat="1" applyFont="1" applyBorder="1" applyAlignment="1">
      <alignment vertical="center"/>
      <protection/>
    </xf>
    <xf numFmtId="164" fontId="18" fillId="0" borderId="48" xfId="58" applyNumberFormat="1" applyFont="1" applyBorder="1" applyAlignment="1">
      <alignment vertical="center"/>
      <protection/>
    </xf>
    <xf numFmtId="0" fontId="11" fillId="0" borderId="0" xfId="77" applyFont="1">
      <alignment/>
      <protection/>
    </xf>
    <xf numFmtId="164" fontId="11" fillId="0" borderId="0" xfId="77" applyNumberFormat="1" applyFont="1">
      <alignment/>
      <protection/>
    </xf>
    <xf numFmtId="0" fontId="9" fillId="0" borderId="0" xfId="77" applyFont="1">
      <alignment/>
      <protection/>
    </xf>
    <xf numFmtId="4" fontId="24" fillId="0" borderId="10" xfId="66" applyNumberFormat="1" applyFont="1" applyFill="1" applyBorder="1" applyAlignment="1" applyProtection="1">
      <alignment horizontal="left" vertical="center" wrapText="1"/>
      <protection locked="0"/>
    </xf>
    <xf numFmtId="164" fontId="11" fillId="0" borderId="16" xfId="0" applyNumberFormat="1" applyFont="1" applyFill="1" applyBorder="1" applyAlignment="1">
      <alignment vertical="center"/>
    </xf>
    <xf numFmtId="164" fontId="11" fillId="0" borderId="13" xfId="0" applyNumberFormat="1" applyFont="1" applyFill="1" applyBorder="1" applyAlignment="1">
      <alignment vertical="center"/>
    </xf>
    <xf numFmtId="164" fontId="9" fillId="0" borderId="17" xfId="0" applyNumberFormat="1" applyFont="1" applyFill="1" applyBorder="1" applyAlignment="1">
      <alignment vertical="center"/>
    </xf>
    <xf numFmtId="164" fontId="9" fillId="0" borderId="13" xfId="0" applyNumberFormat="1" applyFont="1" applyFill="1" applyBorder="1" applyAlignment="1">
      <alignment vertical="center"/>
    </xf>
    <xf numFmtId="164" fontId="19" fillId="0" borderId="22" xfId="66" applyNumberFormat="1" applyFont="1" applyFill="1" applyBorder="1" applyAlignment="1" applyProtection="1">
      <alignment horizontal="left" vertical="center" wrapText="1" indent="2"/>
      <protection locked="0"/>
    </xf>
    <xf numFmtId="3" fontId="18" fillId="0" borderId="0" xfId="62" applyNumberFormat="1" applyFont="1" applyBorder="1" applyAlignment="1">
      <alignment horizontal="right" vertical="center"/>
      <protection/>
    </xf>
    <xf numFmtId="164" fontId="18" fillId="0" borderId="41" xfId="58" applyNumberFormat="1" applyFont="1" applyBorder="1" applyAlignment="1">
      <alignment vertical="center"/>
      <protection/>
    </xf>
    <xf numFmtId="164" fontId="18" fillId="0" borderId="13" xfId="58" applyNumberFormat="1" applyFont="1" applyFill="1" applyBorder="1" applyAlignment="1">
      <alignment vertical="center"/>
      <protection/>
    </xf>
    <xf numFmtId="3" fontId="11" fillId="0" borderId="37" xfId="0" applyNumberFormat="1" applyFont="1" applyFill="1" applyBorder="1" applyAlignment="1">
      <alignment/>
    </xf>
    <xf numFmtId="3" fontId="9" fillId="0" borderId="116" xfId="60" applyNumberFormat="1" applyFont="1" applyFill="1" applyBorder="1" applyAlignment="1">
      <alignment vertical="center"/>
      <protection/>
    </xf>
    <xf numFmtId="3" fontId="9" fillId="0" borderId="53" xfId="60" applyNumberFormat="1" applyFont="1" applyFill="1" applyBorder="1" applyAlignment="1">
      <alignment vertical="center"/>
      <protection/>
    </xf>
    <xf numFmtId="3" fontId="11" fillId="0" borderId="53" xfId="60" applyNumberFormat="1" applyFont="1" applyFill="1" applyBorder="1" applyAlignment="1">
      <alignment vertical="center"/>
      <protection/>
    </xf>
    <xf numFmtId="0" fontId="25" fillId="0" borderId="116" xfId="0" applyFont="1" applyFill="1" applyBorder="1" applyAlignment="1">
      <alignment/>
    </xf>
    <xf numFmtId="164" fontId="18" fillId="0" borderId="41" xfId="58" applyNumberFormat="1" applyFont="1" applyBorder="1" applyAlignment="1">
      <alignment vertical="center"/>
      <protection/>
    </xf>
    <xf numFmtId="166" fontId="14" fillId="0" borderId="33" xfId="74" applyNumberFormat="1" applyFont="1" applyFill="1" applyBorder="1" applyAlignment="1">
      <alignment vertical="center"/>
      <protection/>
    </xf>
    <xf numFmtId="166" fontId="14" fillId="0" borderId="0" xfId="74" applyNumberFormat="1" applyFont="1" applyFill="1" applyBorder="1" applyAlignment="1">
      <alignment vertical="center"/>
      <protection/>
    </xf>
    <xf numFmtId="3" fontId="19" fillId="0" borderId="24" xfId="66" applyNumberFormat="1" applyFont="1" applyFill="1" applyBorder="1" applyAlignment="1" applyProtection="1">
      <alignment horizontal="left" vertical="center" wrapText="1"/>
      <protection locked="0"/>
    </xf>
    <xf numFmtId="164" fontId="19" fillId="0" borderId="56" xfId="60" applyNumberFormat="1" applyFont="1" applyFill="1" applyBorder="1" applyAlignment="1">
      <alignment vertical="center"/>
      <protection/>
    </xf>
    <xf numFmtId="166" fontId="14" fillId="0" borderId="33" xfId="75" applyNumberFormat="1" applyFont="1" applyFill="1" applyBorder="1" applyAlignment="1">
      <alignment vertical="center"/>
      <protection/>
    </xf>
    <xf numFmtId="164" fontId="70" fillId="25" borderId="25" xfId="0" applyNumberFormat="1" applyFont="1" applyFill="1" applyBorder="1" applyAlignment="1">
      <alignment horizontal="right" vertical="center"/>
    </xf>
    <xf numFmtId="164" fontId="70" fillId="0" borderId="10" xfId="0" applyNumberFormat="1" applyFont="1" applyFill="1" applyBorder="1" applyAlignment="1">
      <alignment horizontal="right" vertical="center"/>
    </xf>
    <xf numFmtId="164" fontId="70" fillId="0" borderId="26" xfId="0" applyNumberFormat="1" applyFont="1" applyFill="1" applyBorder="1" applyAlignment="1">
      <alignment horizontal="right" vertical="center" wrapText="1"/>
    </xf>
    <xf numFmtId="164" fontId="70" fillId="0" borderId="10" xfId="0" applyNumberFormat="1" applyFont="1" applyFill="1" applyBorder="1" applyAlignment="1">
      <alignment horizontal="right" vertical="center" wrapText="1"/>
    </xf>
    <xf numFmtId="164" fontId="71" fillId="0" borderId="10" xfId="0" applyNumberFormat="1" applyFont="1" applyFill="1" applyBorder="1" applyAlignment="1">
      <alignment horizontal="right" vertical="center" wrapText="1"/>
    </xf>
    <xf numFmtId="164" fontId="5" fillId="0" borderId="24" xfId="0" applyNumberFormat="1" applyFont="1" applyFill="1" applyBorder="1" applyAlignment="1">
      <alignment horizontal="left" vertical="center"/>
    </xf>
    <xf numFmtId="164" fontId="5" fillId="0" borderId="11" xfId="0" applyNumberFormat="1" applyFont="1" applyFill="1" applyBorder="1" applyAlignment="1">
      <alignment horizontal="justify" vertical="center" wrapText="1"/>
    </xf>
    <xf numFmtId="164" fontId="4" fillId="0" borderId="11" xfId="0" applyNumberFormat="1" applyFont="1" applyFill="1" applyBorder="1" applyAlignment="1">
      <alignment horizontal="right" vertical="center"/>
    </xf>
    <xf numFmtId="164" fontId="5" fillId="0" borderId="11" xfId="0" applyNumberFormat="1" applyFont="1" applyFill="1" applyBorder="1" applyAlignment="1">
      <alignment horizontal="right" vertical="center"/>
    </xf>
    <xf numFmtId="166" fontId="5" fillId="0" borderId="11" xfId="0" applyNumberFormat="1" applyFont="1" applyFill="1" applyBorder="1" applyAlignment="1">
      <alignment horizontal="right" vertical="center"/>
    </xf>
    <xf numFmtId="164" fontId="5" fillId="0" borderId="11" xfId="0" applyNumberFormat="1" applyFont="1" applyFill="1" applyBorder="1" applyAlignment="1">
      <alignment horizontal="center" vertical="center"/>
    </xf>
    <xf numFmtId="164" fontId="5" fillId="0" borderId="15" xfId="0" applyNumberFormat="1" applyFont="1" applyFill="1" applyBorder="1" applyAlignment="1">
      <alignment horizontal="right" vertical="center"/>
    </xf>
    <xf numFmtId="164" fontId="5" fillId="0" borderId="16" xfId="0" applyNumberFormat="1" applyFont="1" applyFill="1" applyBorder="1" applyAlignment="1">
      <alignment horizontal="center" vertical="center"/>
    </xf>
    <xf numFmtId="164" fontId="5" fillId="0" borderId="16" xfId="0" applyNumberFormat="1" applyFont="1" applyFill="1" applyBorder="1" applyAlignment="1">
      <alignment horizontal="right" vertical="center"/>
    </xf>
    <xf numFmtId="164" fontId="4" fillId="0" borderId="13" xfId="0" applyNumberFormat="1" applyFont="1" applyFill="1" applyBorder="1" applyAlignment="1">
      <alignment horizontal="right" vertical="center"/>
    </xf>
    <xf numFmtId="164" fontId="70" fillId="22" borderId="10" xfId="0" applyNumberFormat="1" applyFont="1" applyFill="1" applyBorder="1" applyAlignment="1">
      <alignment horizontal="right" vertical="center" wrapText="1"/>
    </xf>
    <xf numFmtId="164" fontId="70" fillId="22" borderId="26" xfId="0" applyNumberFormat="1" applyFont="1" applyFill="1" applyBorder="1" applyAlignment="1">
      <alignment horizontal="right" vertical="center" wrapText="1"/>
    </xf>
    <xf numFmtId="166" fontId="5" fillId="0" borderId="10" xfId="0" applyNumberFormat="1" applyFont="1" applyFill="1" applyBorder="1" applyAlignment="1" quotePrefix="1">
      <alignment horizontal="right" vertical="center" wrapText="1"/>
    </xf>
    <xf numFmtId="0" fontId="4" fillId="0" borderId="46" xfId="60" applyFont="1" applyFill="1" applyBorder="1" applyAlignment="1">
      <alignment horizontal="center" vertical="center"/>
      <protection/>
    </xf>
    <xf numFmtId="3" fontId="4" fillId="0" borderId="30" xfId="60" applyNumberFormat="1" applyFont="1" applyFill="1" applyBorder="1" applyAlignment="1">
      <alignment vertical="center"/>
      <protection/>
    </xf>
    <xf numFmtId="3" fontId="11" fillId="0" borderId="58" xfId="60" applyNumberFormat="1" applyFont="1" applyFill="1" applyBorder="1" applyAlignment="1">
      <alignment horizontal="left" vertical="center" indent="5"/>
      <protection/>
    </xf>
    <xf numFmtId="164" fontId="11" fillId="0" borderId="11" xfId="60" applyNumberFormat="1" applyFont="1" applyFill="1" applyBorder="1" applyAlignment="1">
      <alignment horizontal="left" vertical="center" indent="2"/>
      <protection/>
    </xf>
    <xf numFmtId="3" fontId="24" fillId="0" borderId="10" xfId="85" applyNumberFormat="1" applyFont="1" applyFill="1" applyBorder="1" applyAlignment="1">
      <alignment horizontal="right" vertical="center" wrapText="1"/>
      <protection/>
    </xf>
    <xf numFmtId="49" fontId="11" fillId="0" borderId="20" xfId="64" applyNumberFormat="1" applyFont="1" applyFill="1" applyBorder="1" applyAlignment="1">
      <alignment horizontal="left" vertical="center" wrapText="1"/>
      <protection/>
    </xf>
    <xf numFmtId="164" fontId="22" fillId="0" borderId="0" xfId="0" applyNumberFormat="1" applyFont="1" applyFill="1" applyAlignment="1">
      <alignment vertical="center"/>
    </xf>
    <xf numFmtId="164" fontId="33" fillId="0" borderId="0" xfId="0" applyNumberFormat="1" applyFont="1" applyFill="1" applyAlignment="1">
      <alignment vertical="center"/>
    </xf>
    <xf numFmtId="164" fontId="11" fillId="0" borderId="20" xfId="0" applyNumberFormat="1" applyFont="1" applyFill="1" applyBorder="1" applyAlignment="1">
      <alignment vertical="center"/>
    </xf>
    <xf numFmtId="164" fontId="11" fillId="0" borderId="0" xfId="0" applyNumberFormat="1" applyFont="1" applyFill="1" applyBorder="1" applyAlignment="1">
      <alignment vertical="center"/>
    </xf>
    <xf numFmtId="164" fontId="11" fillId="0" borderId="37" xfId="0" applyNumberFormat="1" applyFont="1" applyFill="1" applyBorder="1" applyAlignment="1">
      <alignment vertical="center"/>
    </xf>
    <xf numFmtId="164" fontId="11" fillId="0" borderId="12" xfId="61" applyNumberFormat="1" applyFont="1" applyFill="1" applyBorder="1" applyAlignment="1">
      <alignment horizontal="left" vertical="center" wrapText="1" indent="2"/>
      <protection/>
    </xf>
    <xf numFmtId="164" fontId="11" fillId="0" borderId="12" xfId="84" applyNumberFormat="1" applyFont="1" applyFill="1" applyBorder="1" applyAlignment="1">
      <alignment horizontal="left" vertical="center" wrapText="1" indent="2"/>
      <protection/>
    </xf>
    <xf numFmtId="164" fontId="11" fillId="0" borderId="12" xfId="0" applyNumberFormat="1" applyFont="1" applyFill="1" applyBorder="1" applyAlignment="1">
      <alignment horizontal="left" vertical="center" wrapText="1" indent="2"/>
    </xf>
    <xf numFmtId="164" fontId="11" fillId="0" borderId="12" xfId="71" applyNumberFormat="1" applyFont="1" applyFill="1" applyBorder="1" applyAlignment="1">
      <alignment horizontal="left" vertical="center" indent="2"/>
      <protection/>
    </xf>
    <xf numFmtId="164" fontId="11" fillId="0" borderId="12" xfId="80" applyNumberFormat="1" applyFont="1" applyFill="1" applyBorder="1" applyAlignment="1">
      <alignment horizontal="left" vertical="center" wrapText="1" indent="2"/>
      <protection/>
    </xf>
    <xf numFmtId="164" fontId="11" fillId="0" borderId="56" xfId="61" applyNumberFormat="1" applyFont="1" applyFill="1" applyBorder="1" applyAlignment="1">
      <alignment horizontal="left" vertical="center" wrapText="1" indent="2"/>
      <protection/>
    </xf>
    <xf numFmtId="164" fontId="11" fillId="0" borderId="59" xfId="0" applyNumberFormat="1" applyFont="1" applyFill="1" applyBorder="1" applyAlignment="1">
      <alignment vertical="center"/>
    </xf>
    <xf numFmtId="164" fontId="11" fillId="0" borderId="17" xfId="0" applyNumberFormat="1" applyFont="1" applyFill="1" applyBorder="1" applyAlignment="1">
      <alignment vertical="center"/>
    </xf>
    <xf numFmtId="164" fontId="9" fillId="0" borderId="22" xfId="0" applyNumberFormat="1" applyFont="1" applyFill="1" applyBorder="1" applyAlignment="1">
      <alignment horizontal="left" vertical="center"/>
    </xf>
    <xf numFmtId="164" fontId="9" fillId="0" borderId="23" xfId="0" applyNumberFormat="1" applyFont="1" applyFill="1" applyBorder="1" applyAlignment="1">
      <alignment horizontal="right" vertical="center" wrapText="1"/>
    </xf>
    <xf numFmtId="164" fontId="9" fillId="0" borderId="21" xfId="0" applyNumberFormat="1" applyFont="1" applyFill="1" applyBorder="1" applyAlignment="1">
      <alignment horizontal="right" vertical="center" wrapText="1"/>
    </xf>
    <xf numFmtId="164" fontId="10" fillId="0" borderId="10" xfId="84" applyNumberFormat="1" applyFont="1" applyBorder="1" applyAlignment="1">
      <alignment horizontal="justify" vertical="center" wrapText="1"/>
      <protection/>
    </xf>
    <xf numFmtId="164" fontId="10" fillId="0" borderId="11" xfId="84" applyNumberFormat="1" applyFont="1" applyBorder="1" applyAlignment="1">
      <alignment horizontal="justify" vertical="center" wrapText="1"/>
      <protection/>
    </xf>
    <xf numFmtId="164" fontId="19" fillId="0" borderId="23" xfId="62" applyNumberFormat="1" applyFont="1" applyFill="1" applyBorder="1" applyAlignment="1" applyProtection="1">
      <alignment horizontal="center" vertical="center" wrapText="1"/>
      <protection locked="0"/>
    </xf>
    <xf numFmtId="166" fontId="16" fillId="0" borderId="33" xfId="75" applyNumberFormat="1" applyFont="1" applyFill="1" applyBorder="1" applyAlignment="1">
      <alignment vertical="center"/>
      <protection/>
    </xf>
    <xf numFmtId="166" fontId="16" fillId="0" borderId="0" xfId="75" applyNumberFormat="1" applyFont="1" applyFill="1" applyBorder="1" applyAlignment="1">
      <alignment vertical="center"/>
      <protection/>
    </xf>
    <xf numFmtId="0" fontId="9" fillId="0" borderId="51" xfId="62" applyFont="1" applyBorder="1" applyAlignment="1">
      <alignment horizontal="center" vertical="center" wrapText="1"/>
      <protection/>
    </xf>
    <xf numFmtId="0" fontId="9" fillId="0" borderId="25" xfId="62" applyFont="1" applyBorder="1" applyAlignment="1">
      <alignment horizontal="left" vertical="center" wrapText="1"/>
      <protection/>
    </xf>
    <xf numFmtId="3" fontId="9" fillId="0" borderId="52" xfId="62" applyNumberFormat="1" applyFont="1" applyBorder="1" applyAlignment="1">
      <alignment horizontal="right" vertical="center" wrapText="1"/>
      <protection/>
    </xf>
    <xf numFmtId="3" fontId="3" fillId="0" borderId="0" xfId="62" applyNumberFormat="1" applyFont="1" applyFill="1" applyBorder="1" applyAlignment="1">
      <alignment vertical="center"/>
      <protection/>
    </xf>
    <xf numFmtId="3" fontId="3" fillId="0" borderId="37" xfId="62" applyNumberFormat="1" applyFont="1" applyFill="1" applyBorder="1" applyAlignment="1">
      <alignment vertical="center"/>
      <protection/>
    </xf>
    <xf numFmtId="3" fontId="29" fillId="0" borderId="0" xfId="62" applyNumberFormat="1" applyFont="1" applyFill="1" applyBorder="1" applyAlignment="1">
      <alignment vertical="center"/>
      <protection/>
    </xf>
    <xf numFmtId="3" fontId="29" fillId="0" borderId="37" xfId="62" applyNumberFormat="1" applyFont="1" applyFill="1" applyBorder="1" applyAlignment="1">
      <alignment vertical="center"/>
      <protection/>
    </xf>
    <xf numFmtId="3" fontId="3" fillId="0" borderId="0" xfId="62" applyNumberFormat="1" applyFont="1" applyFill="1" applyBorder="1" applyAlignment="1">
      <alignment vertical="center"/>
      <protection/>
    </xf>
    <xf numFmtId="3" fontId="3" fillId="0" borderId="37" xfId="62" applyNumberFormat="1" applyFont="1" applyFill="1" applyBorder="1" applyAlignment="1">
      <alignment vertical="center"/>
      <protection/>
    </xf>
    <xf numFmtId="3" fontId="18" fillId="0" borderId="0" xfId="62" applyNumberFormat="1" applyFont="1" applyFill="1" applyBorder="1" applyAlignment="1">
      <alignment vertical="center"/>
      <protection/>
    </xf>
    <xf numFmtId="3" fontId="18" fillId="0" borderId="37" xfId="62" applyNumberFormat="1" applyFont="1" applyFill="1" applyBorder="1" applyAlignment="1">
      <alignment vertical="center"/>
      <protection/>
    </xf>
    <xf numFmtId="3" fontId="35" fillId="0" borderId="53" xfId="68" applyNumberFormat="1" applyFont="1" applyFill="1" applyBorder="1" applyAlignment="1">
      <alignment horizontal="right" vertical="center"/>
      <protection/>
    </xf>
    <xf numFmtId="164" fontId="24" fillId="0" borderId="87" xfId="65" applyNumberFormat="1" applyFont="1" applyFill="1" applyBorder="1" applyAlignment="1">
      <alignment horizontal="left" vertical="center"/>
      <protection/>
    </xf>
    <xf numFmtId="164" fontId="19" fillId="0" borderId="52" xfId="68" applyNumberFormat="1" applyFont="1" applyFill="1" applyBorder="1" applyAlignment="1">
      <alignment horizontal="right" vertical="center" wrapText="1"/>
      <protection/>
    </xf>
    <xf numFmtId="164" fontId="19" fillId="0" borderId="53" xfId="68" applyNumberFormat="1" applyFont="1" applyFill="1" applyBorder="1" applyAlignment="1">
      <alignment horizontal="right" vertical="center" wrapText="1"/>
      <protection/>
    </xf>
    <xf numFmtId="49" fontId="11" fillId="0" borderId="49" xfId="64" applyNumberFormat="1" applyFont="1" applyFill="1" applyBorder="1" applyAlignment="1">
      <alignment vertical="center" wrapText="1"/>
      <protection/>
    </xf>
    <xf numFmtId="3" fontId="11" fillId="0" borderId="32" xfId="64" applyNumberFormat="1" applyFont="1" applyFill="1" applyBorder="1" applyAlignment="1">
      <alignment horizontal="right" vertical="center"/>
      <protection/>
    </xf>
    <xf numFmtId="3" fontId="11" fillId="0" borderId="23" xfId="64" applyNumberFormat="1" applyFont="1" applyFill="1" applyBorder="1" applyAlignment="1">
      <alignment vertical="center"/>
      <protection/>
    </xf>
    <xf numFmtId="3" fontId="11" fillId="0" borderId="38" xfId="0" applyNumberFormat="1" applyFont="1" applyFill="1" applyBorder="1" applyAlignment="1">
      <alignment vertical="center"/>
    </xf>
    <xf numFmtId="3" fontId="11" fillId="0" borderId="59" xfId="0" applyNumberFormat="1" applyFont="1" applyFill="1" applyBorder="1" applyAlignment="1">
      <alignment vertical="center"/>
    </xf>
    <xf numFmtId="0" fontId="9" fillId="0" borderId="0" xfId="62" applyFont="1" applyBorder="1" applyAlignment="1">
      <alignment horizontal="left" vertical="center"/>
      <protection/>
    </xf>
    <xf numFmtId="3" fontId="9" fillId="0" borderId="0" xfId="62" applyNumberFormat="1" applyFont="1" applyBorder="1" applyAlignment="1">
      <alignment vertical="center"/>
      <protection/>
    </xf>
    <xf numFmtId="165" fontId="9" fillId="0" borderId="16" xfId="0" applyNumberFormat="1" applyFont="1" applyFill="1" applyBorder="1" applyAlignment="1">
      <alignment vertical="center"/>
    </xf>
    <xf numFmtId="165" fontId="9" fillId="0" borderId="13" xfId="0" applyNumberFormat="1" applyFont="1" applyFill="1" applyBorder="1" applyAlignment="1">
      <alignment vertical="center"/>
    </xf>
    <xf numFmtId="169" fontId="11" fillId="0" borderId="10" xfId="0" applyNumberFormat="1" applyFont="1" applyFill="1" applyBorder="1" applyAlignment="1">
      <alignment vertical="center"/>
    </xf>
    <xf numFmtId="164" fontId="9" fillId="0" borderId="52" xfId="0" applyNumberFormat="1" applyFont="1" applyFill="1" applyBorder="1" applyAlignment="1">
      <alignment vertical="center"/>
    </xf>
    <xf numFmtId="164" fontId="9" fillId="0" borderId="14" xfId="0" applyNumberFormat="1" applyFont="1" applyFill="1" applyBorder="1" applyAlignment="1">
      <alignment vertical="center"/>
    </xf>
    <xf numFmtId="164" fontId="9" fillId="0" borderId="15" xfId="0" applyNumberFormat="1" applyFont="1" applyFill="1" applyBorder="1" applyAlignment="1">
      <alignment vertical="center"/>
    </xf>
    <xf numFmtId="164" fontId="19" fillId="0" borderId="48" xfId="60" applyNumberFormat="1" applyFont="1" applyFill="1" applyBorder="1" applyAlignment="1">
      <alignment horizontal="left" vertical="center" indent="2"/>
      <protection/>
    </xf>
    <xf numFmtId="164" fontId="19" fillId="0" borderId="24" xfId="60" applyNumberFormat="1" applyFont="1" applyFill="1" applyBorder="1" applyAlignment="1">
      <alignment horizontal="left" vertical="center" indent="2"/>
      <protection/>
    </xf>
    <xf numFmtId="164" fontId="11" fillId="0" borderId="26" xfId="0" applyNumberFormat="1" applyFont="1" applyFill="1" applyBorder="1" applyAlignment="1">
      <alignment horizontal="center" vertical="center" wrapText="1"/>
    </xf>
    <xf numFmtId="49" fontId="11" fillId="0" borderId="10" xfId="0" applyNumberFormat="1" applyFont="1" applyFill="1" applyBorder="1" applyAlignment="1">
      <alignment horizontal="justify" vertical="center" wrapText="1"/>
    </xf>
    <xf numFmtId="49" fontId="11" fillId="0" borderId="22" xfId="0" applyNumberFormat="1" applyFont="1" applyFill="1" applyBorder="1" applyAlignment="1">
      <alignment horizontal="left" vertical="center" wrapText="1"/>
    </xf>
    <xf numFmtId="3" fontId="11" fillId="0" borderId="21" xfId="0" applyNumberFormat="1" applyFont="1" applyFill="1" applyBorder="1" applyAlignment="1">
      <alignment horizontal="right" vertical="center"/>
    </xf>
    <xf numFmtId="3" fontId="11" fillId="0" borderId="59" xfId="0" applyNumberFormat="1" applyFont="1" applyFill="1" applyBorder="1" applyAlignment="1">
      <alignment horizontal="right" vertical="center"/>
    </xf>
    <xf numFmtId="0" fontId="11" fillId="0" borderId="88" xfId="64" applyFont="1" applyFill="1" applyBorder="1" applyAlignment="1">
      <alignment vertical="center"/>
      <protection/>
    </xf>
    <xf numFmtId="0" fontId="11" fillId="0" borderId="49" xfId="64" applyFont="1" applyFill="1" applyBorder="1" applyAlignment="1">
      <alignment vertical="center"/>
      <protection/>
    </xf>
    <xf numFmtId="3" fontId="11" fillId="0" borderId="14" xfId="64" applyNumberFormat="1" applyFont="1" applyFill="1" applyBorder="1" applyAlignment="1">
      <alignment vertical="center"/>
      <protection/>
    </xf>
    <xf numFmtId="3" fontId="11" fillId="0" borderId="14" xfId="0" applyNumberFormat="1" applyFont="1" applyFill="1" applyBorder="1" applyAlignment="1">
      <alignment vertical="center"/>
    </xf>
    <xf numFmtId="3" fontId="24" fillId="0" borderId="22" xfId="66" applyNumberFormat="1" applyFont="1" applyFill="1" applyBorder="1" applyAlignment="1" applyProtection="1">
      <alignment horizontal="left" vertical="center" wrapText="1"/>
      <protection locked="0"/>
    </xf>
    <xf numFmtId="3" fontId="24" fillId="0" borderId="56" xfId="66" applyNumberFormat="1" applyFont="1" applyFill="1" applyBorder="1" applyAlignment="1" applyProtection="1">
      <alignment horizontal="left" vertical="center" wrapText="1"/>
      <protection locked="0"/>
    </xf>
    <xf numFmtId="49" fontId="11" fillId="0" borderId="49" xfId="68" applyNumberFormat="1" applyFont="1" applyFill="1" applyBorder="1" applyAlignment="1">
      <alignment horizontal="left" vertical="center" wrapText="1"/>
      <protection/>
    </xf>
    <xf numFmtId="49" fontId="11" fillId="0" borderId="86" xfId="68" applyNumberFormat="1" applyFont="1" applyFill="1" applyBorder="1" applyAlignment="1">
      <alignment horizontal="left" vertical="center" wrapText="1"/>
      <protection/>
    </xf>
    <xf numFmtId="3" fontId="5" fillId="0" borderId="0" xfId="77" applyNumberFormat="1" applyFont="1" applyAlignment="1">
      <alignment vertical="center"/>
      <protection/>
    </xf>
    <xf numFmtId="0" fontId="9" fillId="0" borderId="0" xfId="62" applyFont="1" applyAlignment="1">
      <alignment horizontal="center" vertical="center" wrapText="1"/>
      <protection/>
    </xf>
    <xf numFmtId="164" fontId="4" fillId="0" borderId="16" xfId="0" applyNumberFormat="1" applyFont="1" applyFill="1" applyBorder="1" applyAlignment="1">
      <alignment horizontal="right" vertical="center"/>
    </xf>
    <xf numFmtId="164" fontId="4" fillId="22" borderId="16" xfId="0" applyNumberFormat="1" applyFont="1" applyFill="1" applyBorder="1" applyAlignment="1">
      <alignment horizontal="right" vertical="center"/>
    </xf>
    <xf numFmtId="0" fontId="11" fillId="0" borderId="56" xfId="77" applyFont="1" applyFill="1" applyBorder="1" applyAlignment="1">
      <alignment vertical="center" wrapText="1"/>
      <protection/>
    </xf>
    <xf numFmtId="164" fontId="19" fillId="0" borderId="26" xfId="62" applyNumberFormat="1" applyFont="1" applyFill="1" applyBorder="1" applyAlignment="1">
      <alignment horizontal="center" vertical="center" wrapText="1"/>
      <protection/>
    </xf>
    <xf numFmtId="164" fontId="19" fillId="0" borderId="59" xfId="62" applyNumberFormat="1" applyFont="1" applyFill="1" applyBorder="1" applyAlignment="1">
      <alignment horizontal="center" vertical="center" wrapText="1"/>
      <protection/>
    </xf>
    <xf numFmtId="164" fontId="5" fillId="0" borderId="0" xfId="62" applyNumberFormat="1" applyFont="1" applyAlignment="1">
      <alignment horizontal="right"/>
      <protection/>
    </xf>
    <xf numFmtId="3" fontId="5" fillId="0" borderId="0" xfId="77" applyNumberFormat="1" applyFont="1" applyAlignment="1">
      <alignment horizontal="right" vertical="center"/>
      <protection/>
    </xf>
    <xf numFmtId="164" fontId="4" fillId="0" borderId="20" xfId="72" applyNumberFormat="1" applyFont="1" applyFill="1" applyBorder="1" applyAlignment="1">
      <alignment vertical="center"/>
      <protection/>
    </xf>
    <xf numFmtId="164" fontId="5" fillId="0" borderId="0" xfId="72" applyNumberFormat="1" applyFont="1" applyFill="1" applyBorder="1" applyAlignment="1">
      <alignment vertical="center"/>
      <protection/>
    </xf>
    <xf numFmtId="164" fontId="5" fillId="0" borderId="0" xfId="72" applyNumberFormat="1" applyFont="1" applyFill="1" applyBorder="1" applyAlignment="1">
      <alignment horizontal="right" vertical="center"/>
      <protection/>
    </xf>
    <xf numFmtId="164" fontId="5" fillId="0" borderId="37" xfId="77" applyNumberFormat="1" applyFont="1" applyBorder="1" applyAlignment="1">
      <alignment vertical="center"/>
      <protection/>
    </xf>
    <xf numFmtId="164" fontId="4" fillId="0" borderId="0" xfId="72" applyNumberFormat="1" applyFont="1" applyFill="1" applyBorder="1" applyAlignment="1">
      <alignment vertical="center"/>
      <protection/>
    </xf>
    <xf numFmtId="164" fontId="4" fillId="0" borderId="37" xfId="77" applyNumberFormat="1" applyFont="1" applyBorder="1" applyAlignment="1">
      <alignment vertical="center"/>
      <protection/>
    </xf>
    <xf numFmtId="164" fontId="4" fillId="0" borderId="0" xfId="77" applyNumberFormat="1" applyFont="1" applyBorder="1" applyAlignment="1">
      <alignment vertical="center"/>
      <protection/>
    </xf>
    <xf numFmtId="164" fontId="4" fillId="0" borderId="27" xfId="72" applyNumberFormat="1" applyFont="1" applyFill="1" applyBorder="1" applyAlignment="1">
      <alignment vertical="center"/>
      <protection/>
    </xf>
    <xf numFmtId="164" fontId="4" fillId="0" borderId="31" xfId="72" applyNumberFormat="1" applyFont="1" applyFill="1" applyBorder="1" applyAlignment="1">
      <alignment vertical="center"/>
      <protection/>
    </xf>
    <xf numFmtId="164" fontId="4" fillId="0" borderId="31" xfId="77" applyNumberFormat="1" applyFont="1" applyBorder="1" applyAlignment="1">
      <alignment vertical="center"/>
      <protection/>
    </xf>
    <xf numFmtId="3" fontId="4" fillId="0" borderId="0" xfId="60" applyNumberFormat="1" applyFont="1" applyFill="1" applyAlignment="1">
      <alignment vertical="center"/>
      <protection/>
    </xf>
    <xf numFmtId="0" fontId="5" fillId="0" borderId="0" xfId="77" applyFont="1" applyAlignment="1">
      <alignment horizontal="right"/>
      <protection/>
    </xf>
    <xf numFmtId="3" fontId="4" fillId="0" borderId="0" xfId="60" applyNumberFormat="1" applyFont="1" applyFill="1" applyAlignment="1">
      <alignment horizontal="center" vertical="center"/>
      <protection/>
    </xf>
    <xf numFmtId="3" fontId="5" fillId="0" borderId="0" xfId="77" applyNumberFormat="1" applyFont="1" applyBorder="1" applyAlignment="1">
      <alignment vertical="center"/>
      <protection/>
    </xf>
    <xf numFmtId="3" fontId="4" fillId="0" borderId="0" xfId="77" applyNumberFormat="1" applyFont="1" applyBorder="1" applyAlignment="1">
      <alignment vertical="center"/>
      <protection/>
    </xf>
    <xf numFmtId="3" fontId="5" fillId="0" borderId="33" xfId="77" applyNumberFormat="1" applyFont="1" applyBorder="1" applyAlignment="1">
      <alignment horizontal="centerContinuous" vertical="center"/>
      <protection/>
    </xf>
    <xf numFmtId="3" fontId="5" fillId="0" borderId="33" xfId="77" applyNumberFormat="1" applyFont="1" applyBorder="1" applyAlignment="1">
      <alignment horizontal="center" vertical="center"/>
      <protection/>
    </xf>
    <xf numFmtId="3" fontId="5" fillId="0" borderId="35" xfId="77" applyNumberFormat="1" applyFont="1" applyBorder="1" applyAlignment="1">
      <alignment horizontal="centerContinuous" vertical="center"/>
      <protection/>
    </xf>
    <xf numFmtId="3" fontId="5" fillId="0" borderId="35" xfId="77" applyNumberFormat="1" applyFont="1" applyBorder="1" applyAlignment="1">
      <alignment horizontal="center" vertical="center"/>
      <protection/>
    </xf>
    <xf numFmtId="0" fontId="11" fillId="0" borderId="0" xfId="68" applyFont="1" applyFill="1" applyAlignment="1">
      <alignment vertical="center"/>
      <protection/>
    </xf>
    <xf numFmtId="0" fontId="11" fillId="0" borderId="0" xfId="68" applyFont="1" applyFill="1" applyAlignment="1">
      <alignment vertical="center" wrapText="1"/>
      <protection/>
    </xf>
    <xf numFmtId="3" fontId="9" fillId="0" borderId="13" xfId="68" applyNumberFormat="1" applyFont="1" applyFill="1" applyBorder="1" applyAlignment="1">
      <alignment horizontal="right" vertical="center"/>
      <protection/>
    </xf>
    <xf numFmtId="164" fontId="23" fillId="0" borderId="13" xfId="68" applyNumberFormat="1" applyFont="1" applyFill="1" applyBorder="1" applyAlignment="1">
      <alignment horizontal="right" vertical="center" wrapText="1"/>
      <protection/>
    </xf>
    <xf numFmtId="3" fontId="9" fillId="0" borderId="31" xfId="68" applyNumberFormat="1" applyFont="1" applyFill="1" applyBorder="1" applyAlignment="1">
      <alignment horizontal="right" vertical="center"/>
      <protection/>
    </xf>
    <xf numFmtId="3" fontId="9" fillId="0" borderId="37" xfId="68" applyNumberFormat="1" applyFont="1" applyFill="1" applyBorder="1" applyAlignment="1">
      <alignment horizontal="right" vertical="center"/>
      <protection/>
    </xf>
    <xf numFmtId="3" fontId="9" fillId="0" borderId="53" xfId="68" applyNumberFormat="1" applyFont="1" applyFill="1" applyBorder="1" applyAlignment="1">
      <alignment horizontal="right" vertical="center"/>
      <protection/>
    </xf>
    <xf numFmtId="3" fontId="11" fillId="0" borderId="13" xfId="68" applyNumberFormat="1" applyFont="1" applyFill="1" applyBorder="1" applyAlignment="1">
      <alignment horizontal="right" vertical="center"/>
      <protection/>
    </xf>
    <xf numFmtId="3" fontId="62" fillId="0" borderId="53" xfId="68" applyNumberFormat="1" applyFont="1" applyFill="1" applyBorder="1" applyAlignment="1">
      <alignment horizontal="right" vertical="center"/>
      <protection/>
    </xf>
    <xf numFmtId="3" fontId="62" fillId="0" borderId="31" xfId="68" applyNumberFormat="1" applyFont="1" applyFill="1" applyBorder="1" applyAlignment="1">
      <alignment horizontal="right" vertical="center"/>
      <protection/>
    </xf>
    <xf numFmtId="3" fontId="65" fillId="0" borderId="31" xfId="68" applyNumberFormat="1" applyFont="1" applyFill="1" applyBorder="1" applyAlignment="1">
      <alignment horizontal="right" vertical="center"/>
      <protection/>
    </xf>
    <xf numFmtId="3" fontId="11" fillId="0" borderId="31" xfId="68" applyNumberFormat="1" applyFont="1" applyFill="1" applyBorder="1" applyAlignment="1">
      <alignment horizontal="right" vertical="center"/>
      <protection/>
    </xf>
    <xf numFmtId="3" fontId="65" fillId="0" borderId="13" xfId="68" applyNumberFormat="1" applyFont="1" applyFill="1" applyBorder="1" applyAlignment="1">
      <alignment horizontal="right" vertical="center"/>
      <protection/>
    </xf>
    <xf numFmtId="3" fontId="11" fillId="0" borderId="21" xfId="68" applyNumberFormat="1" applyFont="1" applyFill="1" applyBorder="1" applyAlignment="1">
      <alignment horizontal="right" vertical="center"/>
      <protection/>
    </xf>
    <xf numFmtId="0" fontId="11" fillId="0" borderId="25" xfId="85" applyFont="1" applyFill="1" applyBorder="1" applyAlignment="1">
      <alignment vertical="center"/>
      <protection/>
    </xf>
    <xf numFmtId="3" fontId="11" fillId="0" borderId="65" xfId="85" applyNumberFormat="1" applyFont="1" applyFill="1" applyBorder="1" applyAlignment="1">
      <alignment vertical="center"/>
      <protection/>
    </xf>
    <xf numFmtId="0" fontId="11" fillId="0" borderId="10" xfId="85" applyFont="1" applyFill="1" applyBorder="1" applyAlignment="1">
      <alignment vertical="center"/>
      <protection/>
    </xf>
    <xf numFmtId="3" fontId="11" fillId="0" borderId="40" xfId="85" applyNumberFormat="1" applyFont="1" applyFill="1" applyBorder="1" applyAlignment="1">
      <alignment vertical="center"/>
      <protection/>
    </xf>
    <xf numFmtId="0" fontId="9" fillId="0" borderId="10" xfId="85" applyFont="1" applyFill="1" applyBorder="1" applyAlignment="1">
      <alignment vertical="center"/>
      <protection/>
    </xf>
    <xf numFmtId="3" fontId="9" fillId="0" borderId="40" xfId="85" applyNumberFormat="1" applyFont="1" applyFill="1" applyBorder="1" applyAlignment="1">
      <alignment vertical="center"/>
      <protection/>
    </xf>
    <xf numFmtId="0" fontId="3" fillId="0" borderId="0" xfId="82" applyFill="1" applyBorder="1" applyAlignment="1" applyProtection="1">
      <alignment/>
      <protection locked="0"/>
    </xf>
    <xf numFmtId="0" fontId="19" fillId="0" borderId="0" xfId="68" applyFill="1" applyBorder="1" applyAlignment="1" applyProtection="1">
      <alignment/>
      <protection locked="0"/>
    </xf>
    <xf numFmtId="3" fontId="9" fillId="0" borderId="52" xfId="68" applyNumberFormat="1" applyFont="1" applyFill="1" applyBorder="1" applyAlignment="1">
      <alignment horizontal="right" vertical="center"/>
      <protection/>
    </xf>
    <xf numFmtId="3" fontId="9" fillId="0" borderId="14" xfId="68" applyNumberFormat="1" applyFont="1" applyFill="1" applyBorder="1" applyAlignment="1">
      <alignment horizontal="right" vertical="center"/>
      <protection/>
    </xf>
    <xf numFmtId="3" fontId="11" fillId="0" borderId="0" xfId="68" applyNumberFormat="1" applyFont="1" applyFill="1" applyAlignment="1">
      <alignment horizontal="right" vertical="center"/>
      <protection/>
    </xf>
    <xf numFmtId="0" fontId="11" fillId="0" borderId="0" xfId="68" applyFont="1" applyFill="1" applyAlignment="1">
      <alignment horizontal="right" vertical="center"/>
      <protection/>
    </xf>
    <xf numFmtId="3" fontId="11" fillId="0" borderId="0" xfId="68" applyNumberFormat="1" applyFont="1" applyFill="1" applyAlignment="1">
      <alignment horizontal="right" vertical="center" wrapText="1"/>
      <protection/>
    </xf>
    <xf numFmtId="164" fontId="4" fillId="0" borderId="11" xfId="0" applyNumberFormat="1" applyFont="1" applyFill="1" applyBorder="1" applyAlignment="1">
      <alignment horizontal="center" vertical="center" wrapText="1"/>
    </xf>
    <xf numFmtId="164" fontId="4" fillId="0" borderId="39" xfId="0" applyNumberFormat="1" applyFont="1" applyFill="1" applyBorder="1" applyAlignment="1">
      <alignment horizontal="center" vertical="center" wrapText="1"/>
    </xf>
    <xf numFmtId="164" fontId="60" fillId="0" borderId="39" xfId="0" applyNumberFormat="1" applyFont="1" applyFill="1" applyBorder="1" applyAlignment="1">
      <alignment horizontal="center" vertical="center"/>
    </xf>
    <xf numFmtId="164" fontId="60" fillId="0" borderId="30" xfId="0" applyNumberFormat="1" applyFont="1" applyFill="1" applyBorder="1" applyAlignment="1">
      <alignment horizontal="center" vertical="center"/>
    </xf>
    <xf numFmtId="164" fontId="9" fillId="0" borderId="27" xfId="80" applyNumberFormat="1" applyFont="1" applyFill="1" applyBorder="1" applyAlignment="1">
      <alignment horizontal="left" vertical="center"/>
      <protection/>
    </xf>
    <xf numFmtId="164" fontId="9" fillId="0" borderId="41" xfId="80" applyNumberFormat="1" applyFont="1" applyFill="1" applyBorder="1" applyAlignment="1">
      <alignment horizontal="left" vertical="center"/>
      <protection/>
    </xf>
    <xf numFmtId="164" fontId="9" fillId="0" borderId="116" xfId="0" applyNumberFormat="1" applyFont="1" applyFill="1" applyBorder="1" applyAlignment="1">
      <alignment horizontal="left" vertical="center"/>
    </xf>
    <xf numFmtId="164" fontId="9" fillId="0" borderId="35" xfId="0" applyNumberFormat="1" applyFont="1" applyFill="1" applyBorder="1" applyAlignment="1">
      <alignment horizontal="left" vertical="center"/>
    </xf>
    <xf numFmtId="164" fontId="9" fillId="0" borderId="55" xfId="0" applyNumberFormat="1" applyFont="1" applyFill="1" applyBorder="1" applyAlignment="1">
      <alignment horizontal="left" vertical="center"/>
    </xf>
    <xf numFmtId="164" fontId="4" fillId="0" borderId="11" xfId="0" applyNumberFormat="1" applyFont="1" applyFill="1" applyBorder="1" applyAlignment="1">
      <alignment horizontal="center" vertical="center"/>
    </xf>
    <xf numFmtId="164" fontId="4" fillId="0" borderId="0" xfId="0" applyNumberFormat="1" applyFont="1" applyFill="1" applyAlignment="1">
      <alignment horizontal="center" vertical="center"/>
    </xf>
    <xf numFmtId="164" fontId="4" fillId="0" borderId="0" xfId="0" applyNumberFormat="1" applyFont="1" applyFill="1" applyAlignment="1">
      <alignment horizontal="center" vertical="center" wrapText="1"/>
    </xf>
    <xf numFmtId="164" fontId="9" fillId="0" borderId="28" xfId="0" applyNumberFormat="1" applyFont="1" applyFill="1" applyBorder="1" applyAlignment="1">
      <alignment horizontal="left" vertical="center"/>
    </xf>
    <xf numFmtId="164" fontId="9" fillId="0" borderId="27" xfId="0" applyNumberFormat="1" applyFont="1" applyFill="1" applyBorder="1" applyAlignment="1">
      <alignment horizontal="left" vertical="center"/>
    </xf>
    <xf numFmtId="164" fontId="9" fillId="0" borderId="41" xfId="0" applyNumberFormat="1" applyFont="1" applyFill="1" applyBorder="1" applyAlignment="1">
      <alignment horizontal="left" vertical="center"/>
    </xf>
    <xf numFmtId="164" fontId="9" fillId="0" borderId="28" xfId="80" applyNumberFormat="1" applyFont="1" applyFill="1" applyBorder="1" applyAlignment="1">
      <alignment horizontal="left" vertical="center"/>
      <protection/>
    </xf>
    <xf numFmtId="3" fontId="9" fillId="0" borderId="78" xfId="83" applyNumberFormat="1" applyFont="1" applyBorder="1" applyAlignment="1">
      <alignment horizontal="left" vertical="center"/>
      <protection/>
    </xf>
    <xf numFmtId="3" fontId="9" fillId="0" borderId="40" xfId="83" applyNumberFormat="1" applyFont="1" applyBorder="1" applyAlignment="1">
      <alignment horizontal="left" vertical="center"/>
      <protection/>
    </xf>
    <xf numFmtId="164" fontId="5" fillId="0" borderId="0" xfId="83" applyNumberFormat="1" applyFont="1" applyAlignment="1">
      <alignment horizontal="right" vertical="center"/>
      <protection/>
    </xf>
    <xf numFmtId="164" fontId="23" fillId="0" borderId="17" xfId="0" applyNumberFormat="1" applyFont="1" applyFill="1" applyBorder="1" applyAlignment="1">
      <alignment horizontal="center" vertical="center" wrapText="1"/>
    </xf>
    <xf numFmtId="164" fontId="23" fillId="0" borderId="16" xfId="0" applyNumberFormat="1" applyFont="1" applyFill="1" applyBorder="1" applyAlignment="1">
      <alignment horizontal="center" vertical="center" wrapText="1"/>
    </xf>
    <xf numFmtId="164" fontId="11" fillId="0" borderId="43" xfId="83" applyNumberFormat="1" applyFont="1" applyBorder="1" applyAlignment="1">
      <alignment horizontal="center" vertical="center"/>
      <protection/>
    </xf>
    <xf numFmtId="164" fontId="11" fillId="0" borderId="55" xfId="83" applyNumberFormat="1" applyFont="1" applyBorder="1" applyAlignment="1">
      <alignment horizontal="center" vertical="center"/>
      <protection/>
    </xf>
    <xf numFmtId="3" fontId="9" fillId="0" borderId="50" xfId="83" applyNumberFormat="1" applyFont="1" applyBorder="1" applyAlignment="1">
      <alignment horizontal="left" vertical="center"/>
      <protection/>
    </xf>
    <xf numFmtId="3" fontId="9" fillId="0" borderId="87" xfId="83" applyNumberFormat="1" applyFont="1" applyBorder="1" applyAlignment="1">
      <alignment horizontal="left" vertical="center"/>
      <protection/>
    </xf>
    <xf numFmtId="3" fontId="9" fillId="0" borderId="66" xfId="83" applyNumberFormat="1" applyFont="1" applyBorder="1" applyAlignment="1">
      <alignment horizontal="left" vertical="center"/>
      <protection/>
    </xf>
    <xf numFmtId="3" fontId="9" fillId="0" borderId="117" xfId="83" applyNumberFormat="1" applyFont="1" applyBorder="1" applyAlignment="1">
      <alignment horizontal="left" vertical="center"/>
      <protection/>
    </xf>
    <xf numFmtId="3" fontId="9" fillId="0" borderId="17" xfId="83" applyNumberFormat="1" applyFont="1" applyBorder="1" applyAlignment="1">
      <alignment vertical="center"/>
      <protection/>
    </xf>
    <xf numFmtId="3" fontId="54" fillId="0" borderId="16" xfId="83" applyNumberFormat="1" applyFont="1" applyBorder="1" applyAlignment="1">
      <alignment vertical="center"/>
      <protection/>
    </xf>
    <xf numFmtId="3" fontId="9" fillId="0" borderId="28" xfId="83" applyNumberFormat="1" applyFont="1" applyBorder="1" applyAlignment="1">
      <alignment horizontal="left" vertical="center"/>
      <protection/>
    </xf>
    <xf numFmtId="3" fontId="9" fillId="0" borderId="27" xfId="83" applyNumberFormat="1" applyFont="1" applyBorder="1" applyAlignment="1">
      <alignment horizontal="left" vertical="center"/>
      <protection/>
    </xf>
    <xf numFmtId="3" fontId="9" fillId="0" borderId="41" xfId="83" applyNumberFormat="1" applyFont="1" applyBorder="1" applyAlignment="1">
      <alignment horizontal="left" vertical="center"/>
      <protection/>
    </xf>
    <xf numFmtId="164" fontId="11" fillId="0" borderId="53" xfId="83" applyNumberFormat="1" applyFont="1" applyBorder="1" applyAlignment="1">
      <alignment horizontal="center" vertical="center" wrapText="1"/>
      <protection/>
    </xf>
    <xf numFmtId="3" fontId="9" fillId="0" borderId="51" xfId="83" applyNumberFormat="1" applyFont="1" applyBorder="1" applyAlignment="1">
      <alignment vertical="center"/>
      <protection/>
    </xf>
    <xf numFmtId="3" fontId="54" fillId="0" borderId="25" xfId="83" applyNumberFormat="1" applyFont="1" applyBorder="1" applyAlignment="1">
      <alignment vertical="center"/>
      <protection/>
    </xf>
    <xf numFmtId="164" fontId="11" fillId="0" borderId="11" xfId="83" applyNumberFormat="1" applyFont="1" applyBorder="1" applyAlignment="1">
      <alignment horizontal="center" vertical="center" wrapText="1"/>
      <protection/>
    </xf>
    <xf numFmtId="164" fontId="11" fillId="0" borderId="30" xfId="83" applyNumberFormat="1" applyFont="1" applyBorder="1" applyAlignment="1">
      <alignment horizontal="center" vertical="center" wrapText="1"/>
      <protection/>
    </xf>
    <xf numFmtId="164" fontId="11" fillId="0" borderId="15" xfId="83" applyNumberFormat="1" applyFont="1" applyBorder="1" applyAlignment="1">
      <alignment horizontal="center" vertical="center" wrapText="1"/>
      <protection/>
    </xf>
    <xf numFmtId="164" fontId="11" fillId="0" borderId="30" xfId="63" applyNumberFormat="1" applyFont="1" applyFill="1" applyBorder="1" applyAlignment="1">
      <alignment horizontal="center" vertical="center" wrapText="1"/>
      <protection/>
    </xf>
    <xf numFmtId="3" fontId="9" fillId="0" borderId="0" xfId="83" applyNumberFormat="1" applyFont="1" applyAlignment="1">
      <alignment horizontal="center" vertical="center" wrapText="1"/>
      <protection/>
    </xf>
    <xf numFmtId="3" fontId="9" fillId="0" borderId="51" xfId="83" applyNumberFormat="1" applyFont="1" applyBorder="1" applyAlignment="1">
      <alignment horizontal="center" vertical="center" wrapText="1"/>
      <protection/>
    </xf>
    <xf numFmtId="3" fontId="9" fillId="0" borderId="12" xfId="83" applyNumberFormat="1" applyFont="1" applyBorder="1" applyAlignment="1">
      <alignment horizontal="center" vertical="center" wrapText="1"/>
      <protection/>
    </xf>
    <xf numFmtId="3" fontId="9" fillId="0" borderId="56" xfId="83" applyNumberFormat="1" applyFont="1" applyBorder="1" applyAlignment="1">
      <alignment horizontal="center" vertical="center" wrapText="1"/>
      <protection/>
    </xf>
    <xf numFmtId="3" fontId="11" fillId="0" borderId="25" xfId="83" applyNumberFormat="1" applyFont="1" applyBorder="1" applyAlignment="1">
      <alignment horizontal="center" vertical="center" wrapText="1"/>
      <protection/>
    </xf>
    <xf numFmtId="3" fontId="11" fillId="0" borderId="10" xfId="83" applyNumberFormat="1" applyFont="1" applyBorder="1" applyAlignment="1">
      <alignment horizontal="center" vertical="center" wrapText="1"/>
      <protection/>
    </xf>
    <xf numFmtId="3" fontId="11" fillId="0" borderId="26" xfId="83" applyNumberFormat="1" applyFont="1" applyBorder="1" applyAlignment="1">
      <alignment horizontal="center" vertical="center" wrapText="1"/>
      <protection/>
    </xf>
    <xf numFmtId="164" fontId="9" fillId="0" borderId="25" xfId="83" applyNumberFormat="1" applyFont="1" applyBorder="1" applyAlignment="1">
      <alignment horizontal="center" vertical="center"/>
      <protection/>
    </xf>
    <xf numFmtId="164" fontId="9" fillId="0" borderId="52" xfId="83" applyNumberFormat="1" applyFont="1" applyBorder="1" applyAlignment="1">
      <alignment horizontal="center" vertical="center"/>
      <protection/>
    </xf>
    <xf numFmtId="0" fontId="11" fillId="0" borderId="0" xfId="0" applyFont="1" applyFill="1" applyAlignment="1">
      <alignment horizontal="right"/>
    </xf>
    <xf numFmtId="3" fontId="9" fillId="0" borderId="52" xfId="60" applyNumberFormat="1" applyFont="1" applyFill="1" applyBorder="1" applyAlignment="1">
      <alignment horizontal="center" vertical="center" wrapText="1" shrinkToFit="1"/>
      <protection/>
    </xf>
    <xf numFmtId="3" fontId="9" fillId="0" borderId="14" xfId="60" applyNumberFormat="1" applyFont="1" applyFill="1" applyBorder="1" applyAlignment="1">
      <alignment horizontal="center" vertical="center" wrapText="1" shrinkToFit="1"/>
      <protection/>
    </xf>
    <xf numFmtId="3" fontId="9" fillId="0" borderId="59" xfId="60" applyNumberFormat="1" applyFont="1" applyFill="1" applyBorder="1" applyAlignment="1">
      <alignment horizontal="center" vertical="center" wrapText="1" shrinkToFit="1"/>
      <protection/>
    </xf>
    <xf numFmtId="3" fontId="9" fillId="0" borderId="0" xfId="60" applyNumberFormat="1" applyFont="1" applyFill="1" applyAlignment="1">
      <alignment horizontal="center" vertical="center"/>
      <protection/>
    </xf>
    <xf numFmtId="3" fontId="9" fillId="0" borderId="87" xfId="60" applyNumberFormat="1" applyFont="1" applyFill="1" applyBorder="1" applyAlignment="1">
      <alignment horizontal="center" vertical="center"/>
      <protection/>
    </xf>
    <xf numFmtId="3" fontId="9" fillId="0" borderId="50" xfId="60" applyNumberFormat="1" applyFont="1" applyFill="1" applyBorder="1" applyAlignment="1">
      <alignment horizontal="center" vertical="center"/>
      <protection/>
    </xf>
    <xf numFmtId="3" fontId="9" fillId="0" borderId="86" xfId="60" applyNumberFormat="1" applyFont="1" applyFill="1" applyBorder="1" applyAlignment="1">
      <alignment horizontal="center" vertical="center"/>
      <protection/>
    </xf>
    <xf numFmtId="164" fontId="11" fillId="0" borderId="0" xfId="83" applyNumberFormat="1" applyFont="1" applyAlignment="1">
      <alignment horizontal="right" vertical="center"/>
      <protection/>
    </xf>
    <xf numFmtId="164" fontId="11" fillId="0" borderId="10" xfId="63" applyNumberFormat="1" applyFont="1" applyFill="1" applyBorder="1" applyAlignment="1">
      <alignment horizontal="center" vertical="center"/>
      <protection/>
    </xf>
    <xf numFmtId="164" fontId="11" fillId="0" borderId="11" xfId="63" applyNumberFormat="1" applyFont="1" applyFill="1" applyBorder="1" applyAlignment="1">
      <alignment horizontal="center" vertical="center" wrapText="1"/>
      <protection/>
    </xf>
    <xf numFmtId="164" fontId="4" fillId="0" borderId="30" xfId="0" applyNumberFormat="1" applyFont="1" applyFill="1" applyBorder="1" applyAlignment="1">
      <alignment horizontal="center" vertical="center" wrapText="1"/>
    </xf>
    <xf numFmtId="164" fontId="4" fillId="0" borderId="51" xfId="84" applyNumberFormat="1" applyFont="1" applyFill="1" applyBorder="1" applyAlignment="1">
      <alignment horizontal="center" vertical="center" wrapText="1"/>
      <protection/>
    </xf>
    <xf numFmtId="164" fontId="4" fillId="0" borderId="12" xfId="84" applyNumberFormat="1" applyFont="1" applyFill="1" applyBorder="1" applyAlignment="1">
      <alignment horizontal="center" vertical="center" wrapText="1"/>
      <protection/>
    </xf>
    <xf numFmtId="164" fontId="4" fillId="0" borderId="56" xfId="84" applyNumberFormat="1" applyFont="1" applyFill="1" applyBorder="1" applyAlignment="1">
      <alignment horizontal="center" vertical="center" wrapText="1"/>
      <protection/>
    </xf>
    <xf numFmtId="164" fontId="4" fillId="0" borderId="29" xfId="0" applyNumberFormat="1" applyFont="1" applyFill="1" applyBorder="1" applyAlignment="1">
      <alignment horizontal="center" vertical="center" wrapText="1"/>
    </xf>
    <xf numFmtId="164" fontId="4" fillId="0" borderId="25" xfId="0" applyNumberFormat="1" applyFont="1" applyFill="1" applyBorder="1" applyAlignment="1">
      <alignment horizontal="center" vertical="center"/>
    </xf>
    <xf numFmtId="164" fontId="4" fillId="0" borderId="120" xfId="0" applyNumberFormat="1" applyFont="1" applyFill="1" applyBorder="1" applyAlignment="1">
      <alignment horizontal="center" vertical="center"/>
    </xf>
    <xf numFmtId="164" fontId="4" fillId="0" borderId="66" xfId="0" applyNumberFormat="1" applyFont="1" applyFill="1" applyBorder="1" applyAlignment="1">
      <alignment horizontal="center" vertical="center"/>
    </xf>
    <xf numFmtId="164" fontId="4" fillId="0" borderId="117" xfId="0" applyNumberFormat="1" applyFont="1" applyFill="1" applyBorder="1" applyAlignment="1">
      <alignment horizontal="center" vertical="center"/>
    </xf>
    <xf numFmtId="164" fontId="4" fillId="0" borderId="15" xfId="0" applyNumberFormat="1" applyFont="1" applyFill="1" applyBorder="1" applyAlignment="1">
      <alignment horizontal="center" vertical="center" wrapText="1"/>
    </xf>
    <xf numFmtId="164" fontId="4" fillId="0" borderId="38" xfId="0" applyNumberFormat="1" applyFont="1" applyFill="1" applyBorder="1" applyAlignment="1">
      <alignment horizontal="center" vertical="center" wrapText="1"/>
    </xf>
    <xf numFmtId="164" fontId="4" fillId="0" borderId="53" xfId="0" applyNumberFormat="1" applyFont="1" applyFill="1" applyBorder="1" applyAlignment="1">
      <alignment horizontal="center" vertical="center" wrapText="1"/>
    </xf>
    <xf numFmtId="164" fontId="4" fillId="0" borderId="11" xfId="80" applyNumberFormat="1" applyFont="1" applyFill="1" applyBorder="1" applyAlignment="1">
      <alignment horizontal="center" vertical="center" wrapText="1"/>
      <protection/>
    </xf>
    <xf numFmtId="164" fontId="60" fillId="0" borderId="39" xfId="0" applyNumberFormat="1" applyFont="1" applyFill="1" applyBorder="1" applyAlignment="1">
      <alignment horizontal="center" vertical="center" wrapText="1"/>
    </xf>
    <xf numFmtId="164" fontId="60" fillId="0" borderId="30" xfId="0" applyNumberFormat="1" applyFont="1" applyFill="1" applyBorder="1" applyAlignment="1">
      <alignment horizontal="center" vertical="center" wrapText="1"/>
    </xf>
    <xf numFmtId="164" fontId="60" fillId="0" borderId="39" xfId="0" applyNumberFormat="1" applyFont="1" applyFill="1" applyBorder="1" applyAlignment="1">
      <alignment vertical="center" wrapText="1"/>
    </xf>
    <xf numFmtId="164" fontId="60" fillId="0" borderId="30" xfId="0" applyNumberFormat="1" applyFont="1" applyFill="1" applyBorder="1" applyAlignment="1">
      <alignment vertical="center" wrapText="1"/>
    </xf>
    <xf numFmtId="164" fontId="61" fillId="0" borderId="11" xfId="0" applyNumberFormat="1" applyFont="1" applyFill="1" applyBorder="1" applyAlignment="1">
      <alignment horizontal="center" vertical="center" wrapText="1"/>
    </xf>
    <xf numFmtId="164" fontId="61" fillId="0" borderId="39" xfId="0" applyNumberFormat="1" applyFont="1" applyFill="1" applyBorder="1" applyAlignment="1">
      <alignment horizontal="center" vertical="center" wrapText="1"/>
    </xf>
    <xf numFmtId="164" fontId="61" fillId="0" borderId="30" xfId="0" applyNumberFormat="1" applyFont="1" applyFill="1" applyBorder="1" applyAlignment="1">
      <alignment horizontal="center" vertical="center" wrapText="1"/>
    </xf>
    <xf numFmtId="164" fontId="9" fillId="0" borderId="28" xfId="84" applyNumberFormat="1" applyFont="1" applyBorder="1" applyAlignment="1">
      <alignment horizontal="left" vertical="center" wrapText="1"/>
      <protection/>
    </xf>
    <xf numFmtId="164" fontId="9" fillId="0" borderId="27" xfId="84" applyNumberFormat="1" applyFont="1" applyBorder="1" applyAlignment="1">
      <alignment horizontal="left" vertical="center" wrapText="1"/>
      <protection/>
    </xf>
    <xf numFmtId="164" fontId="9" fillId="0" borderId="41" xfId="84" applyNumberFormat="1" applyFont="1" applyBorder="1" applyAlignment="1">
      <alignment horizontal="left" vertical="center" wrapText="1"/>
      <protection/>
    </xf>
    <xf numFmtId="164" fontId="11" fillId="0" borderId="10" xfId="84" applyNumberFormat="1" applyFont="1" applyFill="1" applyBorder="1" applyAlignment="1">
      <alignment horizontal="center" vertical="center" wrapText="1"/>
      <protection/>
    </xf>
    <xf numFmtId="164" fontId="11" fillId="0" borderId="26" xfId="84" applyNumberFormat="1" applyFont="1" applyFill="1" applyBorder="1" applyAlignment="1">
      <alignment horizontal="center" vertical="center" wrapText="1"/>
      <protection/>
    </xf>
    <xf numFmtId="164" fontId="11" fillId="0" borderId="14" xfId="84" applyNumberFormat="1" applyFont="1" applyFill="1" applyBorder="1" applyAlignment="1">
      <alignment horizontal="center" vertical="center" wrapText="1"/>
      <protection/>
    </xf>
    <xf numFmtId="164" fontId="25" fillId="0" borderId="14" xfId="84" applyNumberFormat="1" applyFont="1" applyBorder="1" applyAlignment="1">
      <alignment vertical="center" wrapText="1"/>
      <protection/>
    </xf>
    <xf numFmtId="164" fontId="25" fillId="0" borderId="59" xfId="84" applyNumberFormat="1" applyFont="1" applyBorder="1" applyAlignment="1">
      <alignment vertical="center" wrapText="1"/>
      <protection/>
    </xf>
    <xf numFmtId="164" fontId="20" fillId="0" borderId="28" xfId="84" applyNumberFormat="1" applyFont="1" applyFill="1" applyBorder="1" applyAlignment="1">
      <alignment horizontal="left" vertical="center" wrapText="1"/>
      <protection/>
    </xf>
    <xf numFmtId="164" fontId="20" fillId="0" borderId="27" xfId="84" applyNumberFormat="1" applyFont="1" applyFill="1" applyBorder="1" applyAlignment="1">
      <alignment horizontal="left" vertical="center" wrapText="1"/>
      <protection/>
    </xf>
    <xf numFmtId="164" fontId="20" fillId="0" borderId="41" xfId="84" applyNumberFormat="1" applyFont="1" applyFill="1" applyBorder="1" applyAlignment="1">
      <alignment horizontal="left" vertical="center" wrapText="1"/>
      <protection/>
    </xf>
    <xf numFmtId="164" fontId="24" fillId="0" borderId="10" xfId="80" applyNumberFormat="1" applyFont="1" applyFill="1" applyBorder="1" applyAlignment="1">
      <alignment horizontal="center" vertical="center" wrapText="1"/>
      <protection/>
    </xf>
    <xf numFmtId="164" fontId="25" fillId="0" borderId="10" xfId="84" applyNumberFormat="1" applyFont="1" applyBorder="1" applyAlignment="1">
      <alignment horizontal="center" vertical="center" wrapText="1"/>
      <protection/>
    </xf>
    <xf numFmtId="164" fontId="25" fillId="0" borderId="26" xfId="84" applyNumberFormat="1" applyFont="1" applyBorder="1" applyAlignment="1">
      <alignment horizontal="center" vertical="center" wrapText="1"/>
      <protection/>
    </xf>
    <xf numFmtId="164" fontId="25" fillId="0" borderId="10" xfId="84" applyNumberFormat="1" applyFont="1" applyBorder="1" applyAlignment="1">
      <alignment vertical="center" wrapText="1"/>
      <protection/>
    </xf>
    <xf numFmtId="164" fontId="25" fillId="0" borderId="26" xfId="84" applyNumberFormat="1" applyFont="1" applyBorder="1" applyAlignment="1">
      <alignment vertical="center" wrapText="1"/>
      <protection/>
    </xf>
    <xf numFmtId="164" fontId="11" fillId="0" borderId="10" xfId="84" applyNumberFormat="1" applyFont="1" applyFill="1" applyBorder="1" applyAlignment="1">
      <alignment horizontal="center" vertical="center"/>
      <protection/>
    </xf>
    <xf numFmtId="164" fontId="25" fillId="0" borderId="10" xfId="84" applyNumberFormat="1" applyFont="1" applyBorder="1" applyAlignment="1">
      <alignment horizontal="center" vertical="center"/>
      <protection/>
    </xf>
    <xf numFmtId="164" fontId="25" fillId="0" borderId="26" xfId="84" applyNumberFormat="1" applyFont="1" applyBorder="1" applyAlignment="1">
      <alignment horizontal="center" vertical="center"/>
      <protection/>
    </xf>
    <xf numFmtId="164" fontId="9" fillId="0" borderId="0" xfId="84" applyNumberFormat="1" applyFont="1" applyAlignment="1">
      <alignment horizontal="center" vertical="center" wrapText="1"/>
      <protection/>
    </xf>
    <xf numFmtId="164" fontId="9" fillId="0" borderId="51" xfId="84" applyNumberFormat="1" applyFont="1" applyBorder="1" applyAlignment="1">
      <alignment horizontal="center" vertical="center" wrapText="1"/>
      <protection/>
    </xf>
    <xf numFmtId="164" fontId="9" fillId="0" borderId="12" xfId="84" applyNumberFormat="1" applyFont="1" applyBorder="1" applyAlignment="1">
      <alignment horizontal="center" vertical="center" wrapText="1"/>
      <protection/>
    </xf>
    <xf numFmtId="164" fontId="9" fillId="0" borderId="56" xfId="84" applyNumberFormat="1" applyFont="1" applyBorder="1" applyAlignment="1">
      <alignment horizontal="center" vertical="center" wrapText="1"/>
      <protection/>
    </xf>
    <xf numFmtId="164" fontId="9" fillId="0" borderId="25" xfId="84" applyNumberFormat="1" applyFont="1" applyBorder="1" applyAlignment="1">
      <alignment horizontal="center" vertical="center" wrapText="1"/>
      <protection/>
    </xf>
    <xf numFmtId="164" fontId="9" fillId="0" borderId="10" xfId="84" applyNumberFormat="1" applyFont="1" applyBorder="1" applyAlignment="1">
      <alignment horizontal="center" vertical="center" wrapText="1"/>
      <protection/>
    </xf>
    <xf numFmtId="164" fontId="9" fillId="0" borderId="26" xfId="84" applyNumberFormat="1" applyFont="1" applyBorder="1" applyAlignment="1">
      <alignment horizontal="center" vertical="center" wrapText="1"/>
      <protection/>
    </xf>
    <xf numFmtId="164" fontId="11" fillId="0" borderId="25" xfId="84" applyNumberFormat="1" applyFont="1" applyBorder="1" applyAlignment="1">
      <alignment horizontal="center" vertical="center" wrapText="1"/>
      <protection/>
    </xf>
    <xf numFmtId="164" fontId="11" fillId="0" borderId="10" xfId="84" applyNumberFormat="1" applyFont="1" applyBorder="1" applyAlignment="1">
      <alignment horizontal="center" vertical="center" wrapText="1"/>
      <protection/>
    </xf>
    <xf numFmtId="164" fontId="11" fillId="0" borderId="26" xfId="84" applyNumberFormat="1" applyFont="1" applyBorder="1" applyAlignment="1">
      <alignment horizontal="center" vertical="center" wrapText="1"/>
      <protection/>
    </xf>
    <xf numFmtId="164" fontId="11" fillId="0" borderId="25" xfId="84" applyNumberFormat="1" applyFont="1" applyFill="1" applyBorder="1" applyAlignment="1">
      <alignment horizontal="center" vertical="center"/>
      <protection/>
    </xf>
    <xf numFmtId="164" fontId="11" fillId="0" borderId="29" xfId="84" applyNumberFormat="1" applyFont="1" applyFill="1" applyBorder="1" applyAlignment="1">
      <alignment horizontal="center" vertical="center" wrapText="1"/>
      <protection/>
    </xf>
    <xf numFmtId="164" fontId="11" fillId="0" borderId="39" xfId="84" applyNumberFormat="1" applyFont="1" applyFill="1" applyBorder="1" applyAlignment="1">
      <alignment horizontal="center" vertical="center" wrapText="1"/>
      <protection/>
    </xf>
    <xf numFmtId="164" fontId="11" fillId="0" borderId="30" xfId="84" applyNumberFormat="1" applyFont="1" applyFill="1" applyBorder="1" applyAlignment="1">
      <alignment horizontal="center" vertical="center" wrapText="1"/>
      <protection/>
    </xf>
    <xf numFmtId="164" fontId="9" fillId="0" borderId="25" xfId="84" applyNumberFormat="1" applyFont="1" applyFill="1" applyBorder="1" applyAlignment="1">
      <alignment horizontal="center" vertical="center"/>
      <protection/>
    </xf>
    <xf numFmtId="164" fontId="9" fillId="0" borderId="52" xfId="84" applyNumberFormat="1" applyFont="1" applyFill="1" applyBorder="1" applyAlignment="1">
      <alignment horizontal="center" vertical="center"/>
      <protection/>
    </xf>
    <xf numFmtId="3" fontId="9" fillId="0" borderId="28" xfId="60" applyNumberFormat="1" applyFont="1" applyFill="1" applyBorder="1" applyAlignment="1">
      <alignment horizontal="left" vertical="center"/>
      <protection/>
    </xf>
    <xf numFmtId="3" fontId="9" fillId="0" borderId="41" xfId="60" applyNumberFormat="1" applyFont="1" applyFill="1" applyBorder="1" applyAlignment="1">
      <alignment horizontal="left" vertical="center"/>
      <protection/>
    </xf>
    <xf numFmtId="0" fontId="4" fillId="0" borderId="0" xfId="60" applyFont="1" applyFill="1" applyAlignment="1">
      <alignment horizontal="center" vertical="center"/>
      <protection/>
    </xf>
    <xf numFmtId="3" fontId="4" fillId="0" borderId="19" xfId="60" applyNumberFormat="1" applyFont="1" applyFill="1" applyBorder="1" applyAlignment="1">
      <alignment horizontal="center" vertical="center"/>
      <protection/>
    </xf>
    <xf numFmtId="3" fontId="4" fillId="0" borderId="17" xfId="60" applyNumberFormat="1" applyFont="1" applyFill="1" applyBorder="1" applyAlignment="1">
      <alignment horizontal="center" vertical="center"/>
      <protection/>
    </xf>
    <xf numFmtId="3" fontId="4" fillId="0" borderId="13" xfId="60" applyNumberFormat="1" applyFont="1" applyFill="1" applyBorder="1" applyAlignment="1">
      <alignment horizontal="center" vertical="center"/>
      <protection/>
    </xf>
    <xf numFmtId="3" fontId="9" fillId="0" borderId="28" xfId="62" applyNumberFormat="1" applyFont="1" applyBorder="1" applyAlignment="1">
      <alignment horizontal="center" vertical="center"/>
      <protection/>
    </xf>
    <xf numFmtId="3" fontId="9" fillId="0" borderId="41" xfId="62" applyNumberFormat="1" applyFont="1" applyBorder="1" applyAlignment="1">
      <alignment horizontal="center" vertical="center"/>
      <protection/>
    </xf>
    <xf numFmtId="164" fontId="11" fillId="0" borderId="23" xfId="62" applyNumberFormat="1" applyFont="1" applyBorder="1" applyAlignment="1">
      <alignment horizontal="left" vertical="center" wrapText="1"/>
      <protection/>
    </xf>
    <xf numFmtId="164" fontId="11" fillId="0" borderId="10" xfId="62" applyNumberFormat="1" applyFont="1" applyBorder="1" applyAlignment="1">
      <alignment horizontal="left" vertical="center" wrapText="1"/>
      <protection/>
    </xf>
    <xf numFmtId="164" fontId="11" fillId="0" borderId="10" xfId="62" applyNumberFormat="1" applyFont="1" applyBorder="1" applyAlignment="1">
      <alignment vertical="center" wrapText="1"/>
      <protection/>
    </xf>
    <xf numFmtId="3" fontId="11" fillId="0" borderId="12" xfId="62" applyNumberFormat="1" applyFont="1" applyBorder="1" applyAlignment="1">
      <alignment horizontal="center" vertical="center"/>
      <protection/>
    </xf>
    <xf numFmtId="3" fontId="9" fillId="0" borderId="0" xfId="62" applyNumberFormat="1" applyFont="1" applyAlignment="1">
      <alignment horizontal="center" vertical="center"/>
      <protection/>
    </xf>
    <xf numFmtId="3" fontId="11" fillId="0" borderId="22" xfId="62" applyNumberFormat="1" applyFont="1" applyBorder="1" applyAlignment="1">
      <alignment horizontal="center" vertical="center"/>
      <protection/>
    </xf>
    <xf numFmtId="164" fontId="11" fillId="0" borderId="14" xfId="40" applyNumberFormat="1" applyFont="1" applyBorder="1" applyAlignment="1">
      <alignment horizontal="right" vertical="center" wrapText="1"/>
    </xf>
    <xf numFmtId="164" fontId="11" fillId="0" borderId="14" xfId="62" applyNumberFormat="1" applyFont="1" applyBorder="1" applyAlignment="1">
      <alignment horizontal="right" vertical="center" wrapText="1"/>
      <protection/>
    </xf>
    <xf numFmtId="164" fontId="11" fillId="0" borderId="21" xfId="40" applyNumberFormat="1" applyFont="1" applyBorder="1" applyAlignment="1">
      <alignment horizontal="right" vertical="center" wrapText="1"/>
    </xf>
    <xf numFmtId="3" fontId="17" fillId="0" borderId="0" xfId="75" applyNumberFormat="1" applyFont="1" applyFill="1" applyAlignment="1">
      <alignment horizontal="right" vertical="center"/>
      <protection/>
    </xf>
    <xf numFmtId="164" fontId="16" fillId="0" borderId="115" xfId="75" applyNumberFormat="1" applyFont="1" applyFill="1" applyBorder="1" applyAlignment="1">
      <alignment horizontal="center" vertical="center"/>
      <protection/>
    </xf>
    <xf numFmtId="164" fontId="16" fillId="0" borderId="34" xfId="75" applyNumberFormat="1" applyFont="1" applyFill="1" applyBorder="1" applyAlignment="1">
      <alignment horizontal="center" vertical="center"/>
      <protection/>
    </xf>
    <xf numFmtId="164" fontId="16" fillId="0" borderId="116" xfId="75" applyNumberFormat="1" applyFont="1" applyFill="1" applyBorder="1" applyAlignment="1">
      <alignment horizontal="center" vertical="center"/>
      <protection/>
    </xf>
    <xf numFmtId="164" fontId="16" fillId="0" borderId="36" xfId="75" applyNumberFormat="1" applyFont="1" applyFill="1" applyBorder="1" applyAlignment="1">
      <alignment horizontal="center" vertical="center"/>
      <protection/>
    </xf>
    <xf numFmtId="164" fontId="16" fillId="0" borderId="0" xfId="75" applyNumberFormat="1" applyFont="1" applyFill="1" applyAlignment="1">
      <alignment horizontal="center" vertical="center"/>
      <protection/>
    </xf>
    <xf numFmtId="164" fontId="17" fillId="0" borderId="61" xfId="75" applyNumberFormat="1" applyFont="1" applyFill="1" applyBorder="1" applyAlignment="1">
      <alignment horizontal="center" vertical="center" wrapText="1"/>
      <protection/>
    </xf>
    <xf numFmtId="164" fontId="17" fillId="0" borderId="62" xfId="75" applyNumberFormat="1" applyFont="1" applyFill="1" applyBorder="1" applyAlignment="1">
      <alignment horizontal="center" vertical="center" wrapText="1"/>
      <protection/>
    </xf>
    <xf numFmtId="164" fontId="17" fillId="0" borderId="35" xfId="75" applyNumberFormat="1" applyFont="1" applyFill="1" applyBorder="1" applyAlignment="1">
      <alignment horizontal="right" vertical="center"/>
      <protection/>
    </xf>
    <xf numFmtId="164" fontId="16" fillId="0" borderId="61" xfId="75" applyNumberFormat="1" applyFont="1" applyFill="1" applyBorder="1" applyAlignment="1">
      <alignment horizontal="center" vertical="center"/>
      <protection/>
    </xf>
    <xf numFmtId="164" fontId="16" fillId="0" borderId="62" xfId="75" applyNumberFormat="1" applyFont="1" applyFill="1" applyBorder="1" applyAlignment="1">
      <alignment horizontal="center" vertical="center"/>
      <protection/>
    </xf>
    <xf numFmtId="164" fontId="16" fillId="0" borderId="115" xfId="75" applyNumberFormat="1" applyFont="1" applyFill="1" applyBorder="1" applyAlignment="1">
      <alignment horizontal="center" vertical="center"/>
      <protection/>
    </xf>
    <xf numFmtId="164" fontId="16" fillId="0" borderId="33" xfId="75" applyNumberFormat="1" applyFont="1" applyFill="1" applyBorder="1" applyAlignment="1">
      <alignment horizontal="center" vertical="center"/>
      <protection/>
    </xf>
    <xf numFmtId="164" fontId="16" fillId="0" borderId="34" xfId="75" applyNumberFormat="1" applyFont="1" applyFill="1" applyBorder="1" applyAlignment="1">
      <alignment horizontal="center" vertical="center"/>
      <protection/>
    </xf>
    <xf numFmtId="164" fontId="14" fillId="0" borderId="28" xfId="75" applyNumberFormat="1" applyFont="1" applyFill="1" applyBorder="1" applyAlignment="1">
      <alignment horizontal="center" vertical="center"/>
      <protection/>
    </xf>
    <xf numFmtId="164" fontId="14" fillId="0" borderId="27" xfId="75" applyNumberFormat="1" applyFont="1" applyFill="1" applyBorder="1" applyAlignment="1">
      <alignment horizontal="center" vertical="center"/>
      <protection/>
    </xf>
    <xf numFmtId="164" fontId="14" fillId="0" borderId="31" xfId="75" applyNumberFormat="1" applyFont="1" applyFill="1" applyBorder="1" applyAlignment="1">
      <alignment horizontal="center" vertical="center"/>
      <protection/>
    </xf>
    <xf numFmtId="164" fontId="7" fillId="0" borderId="19" xfId="61" applyNumberFormat="1" applyFont="1" applyFill="1" applyBorder="1" applyAlignment="1">
      <alignment horizontal="center" vertical="center" wrapText="1"/>
      <protection/>
    </xf>
    <xf numFmtId="164" fontId="7" fillId="0" borderId="19" xfId="84" applyNumberFormat="1" applyFont="1" applyFill="1" applyBorder="1" applyAlignment="1">
      <alignment horizontal="center" vertical="center" wrapText="1"/>
      <protection/>
    </xf>
    <xf numFmtId="164" fontId="68" fillId="0" borderId="115" xfId="79" applyNumberFormat="1" applyFont="1" applyFill="1" applyBorder="1" applyAlignment="1">
      <alignment horizontal="left" vertical="center"/>
      <protection/>
    </xf>
    <xf numFmtId="164" fontId="68" fillId="0" borderId="33" xfId="79" applyNumberFormat="1" applyFont="1" applyFill="1" applyBorder="1" applyAlignment="1">
      <alignment horizontal="left" vertical="center"/>
      <protection/>
    </xf>
    <xf numFmtId="164" fontId="68" fillId="0" borderId="34" xfId="79" applyNumberFormat="1" applyFont="1" applyFill="1" applyBorder="1" applyAlignment="1">
      <alignment horizontal="left" vertical="center"/>
      <protection/>
    </xf>
    <xf numFmtId="0" fontId="19" fillId="0" borderId="0" xfId="75" applyFont="1" applyFill="1" applyBorder="1" applyAlignment="1">
      <alignment horizontal="right"/>
      <protection/>
    </xf>
    <xf numFmtId="164" fontId="9" fillId="0" borderId="47" xfId="79" applyNumberFormat="1" applyFont="1" applyFill="1" applyBorder="1" applyAlignment="1">
      <alignment horizontal="center" vertical="center"/>
      <protection/>
    </xf>
    <xf numFmtId="164" fontId="9" fillId="0" borderId="48" xfId="79" applyNumberFormat="1" applyFont="1" applyFill="1" applyBorder="1" applyAlignment="1">
      <alignment horizontal="center" vertical="center"/>
      <protection/>
    </xf>
    <xf numFmtId="164" fontId="23" fillId="0" borderId="0" xfId="73" applyNumberFormat="1" applyFont="1" applyFill="1" applyAlignment="1">
      <alignment horizontal="center" vertical="center" wrapText="1"/>
      <protection/>
    </xf>
    <xf numFmtId="164" fontId="4" fillId="0" borderId="45" xfId="74" applyNumberFormat="1" applyFont="1" applyFill="1" applyBorder="1" applyAlignment="1">
      <alignment horizontal="center" vertical="center" wrapText="1"/>
      <protection/>
    </xf>
    <xf numFmtId="164" fontId="4" fillId="0" borderId="38" xfId="74" applyNumberFormat="1" applyFont="1" applyFill="1" applyBorder="1" applyAlignment="1">
      <alignment horizontal="center" vertical="center" wrapText="1"/>
      <protection/>
    </xf>
    <xf numFmtId="164" fontId="4" fillId="0" borderId="120" xfId="74" applyNumberFormat="1" applyFont="1" applyFill="1" applyBorder="1" applyAlignment="1">
      <alignment horizontal="center" vertical="center"/>
      <protection/>
    </xf>
    <xf numFmtId="164" fontId="4" fillId="0" borderId="66" xfId="74" applyNumberFormat="1" applyFont="1" applyFill="1" applyBorder="1" applyAlignment="1">
      <alignment horizontal="center" vertical="center"/>
      <protection/>
    </xf>
    <xf numFmtId="164" fontId="4" fillId="0" borderId="65" xfId="74" applyNumberFormat="1" applyFont="1" applyFill="1" applyBorder="1" applyAlignment="1">
      <alignment horizontal="center" vertical="center"/>
      <protection/>
    </xf>
    <xf numFmtId="164" fontId="19" fillId="0" borderId="35" xfId="74" applyNumberFormat="1" applyFont="1" applyFill="1" applyBorder="1" applyAlignment="1">
      <alignment horizontal="right" vertical="center"/>
      <protection/>
    </xf>
    <xf numFmtId="164" fontId="11" fillId="0" borderId="0" xfId="0" applyNumberFormat="1" applyFont="1" applyFill="1" applyAlignment="1">
      <alignment horizontal="right" vertical="center"/>
    </xf>
    <xf numFmtId="164" fontId="9" fillId="0" borderId="52" xfId="0" applyNumberFormat="1" applyFont="1" applyFill="1" applyBorder="1" applyAlignment="1">
      <alignment horizontal="center" vertical="center" wrapText="1"/>
    </xf>
    <xf numFmtId="164" fontId="9" fillId="0" borderId="59" xfId="0" applyNumberFormat="1" applyFont="1" applyFill="1" applyBorder="1" applyAlignment="1">
      <alignment horizontal="center" vertical="center" wrapText="1"/>
    </xf>
    <xf numFmtId="0" fontId="9" fillId="0" borderId="0" xfId="0" applyFont="1" applyFill="1" applyAlignment="1">
      <alignment horizontal="center" vertical="center"/>
    </xf>
    <xf numFmtId="164" fontId="11" fillId="0" borderId="25" xfId="0" applyNumberFormat="1" applyFont="1" applyFill="1" applyBorder="1" applyAlignment="1">
      <alignment horizontal="center" vertical="center" wrapText="1"/>
    </xf>
    <xf numFmtId="164" fontId="11" fillId="0" borderId="26" xfId="0" applyNumberFormat="1" applyFont="1" applyFill="1" applyBorder="1" applyAlignment="1">
      <alignment horizontal="center" vertical="center" wrapText="1"/>
    </xf>
    <xf numFmtId="0" fontId="9" fillId="0" borderId="51" xfId="0" applyFont="1" applyFill="1" applyBorder="1" applyAlignment="1">
      <alignment horizontal="center" vertical="center"/>
    </xf>
    <xf numFmtId="0" fontId="9" fillId="0" borderId="56" xfId="0" applyFont="1" applyFill="1" applyBorder="1" applyAlignment="1">
      <alignment horizontal="center" vertical="center"/>
    </xf>
    <xf numFmtId="164" fontId="9" fillId="0" borderId="0" xfId="0" applyNumberFormat="1" applyFont="1" applyFill="1" applyAlignment="1">
      <alignment horizontal="center" vertical="center"/>
    </xf>
    <xf numFmtId="164" fontId="9" fillId="0" borderId="50" xfId="0" applyNumberFormat="1" applyFont="1" applyFill="1" applyBorder="1" applyAlignment="1">
      <alignment horizontal="left" vertical="center"/>
    </xf>
    <xf numFmtId="164" fontId="9" fillId="0" borderId="78" xfId="0" applyNumberFormat="1" applyFont="1" applyFill="1" applyBorder="1" applyAlignment="1">
      <alignment horizontal="left" vertical="center"/>
    </xf>
    <xf numFmtId="164" fontId="9" fillId="0" borderId="90" xfId="0" applyNumberFormat="1" applyFont="1" applyFill="1" applyBorder="1" applyAlignment="1">
      <alignment horizontal="left" vertical="center"/>
    </xf>
    <xf numFmtId="164" fontId="9" fillId="0" borderId="51" xfId="0" applyNumberFormat="1" applyFont="1" applyFill="1" applyBorder="1" applyAlignment="1">
      <alignment horizontal="center" vertical="center"/>
    </xf>
    <xf numFmtId="164" fontId="9" fillId="0" borderId="56" xfId="0" applyNumberFormat="1" applyFont="1" applyFill="1" applyBorder="1" applyAlignment="1">
      <alignment horizontal="center" vertical="center"/>
    </xf>
    <xf numFmtId="164" fontId="9" fillId="0" borderId="25" xfId="0" applyNumberFormat="1" applyFont="1" applyFill="1" applyBorder="1" applyAlignment="1">
      <alignment horizontal="center" vertical="center" wrapText="1"/>
    </xf>
    <xf numFmtId="164" fontId="9" fillId="0" borderId="26" xfId="0" applyNumberFormat="1" applyFont="1" applyFill="1" applyBorder="1" applyAlignment="1">
      <alignment horizontal="center" vertical="center" wrapText="1"/>
    </xf>
    <xf numFmtId="164" fontId="9" fillId="0" borderId="29" xfId="0" applyNumberFormat="1" applyFont="1" applyFill="1" applyBorder="1" applyAlignment="1">
      <alignment horizontal="center" vertical="center" wrapText="1"/>
    </xf>
    <xf numFmtId="164" fontId="9" fillId="0" borderId="39" xfId="0" applyNumberFormat="1" applyFont="1" applyFill="1" applyBorder="1" applyAlignment="1">
      <alignment horizontal="center" vertical="center" wrapText="1"/>
    </xf>
    <xf numFmtId="164" fontId="9" fillId="0" borderId="30" xfId="0" applyNumberFormat="1" applyFont="1" applyFill="1" applyBorder="1" applyAlignment="1">
      <alignment horizontal="center" vertical="center" wrapText="1"/>
    </xf>
    <xf numFmtId="164" fontId="9" fillId="0" borderId="25" xfId="77" applyNumberFormat="1" applyFont="1" applyFill="1" applyBorder="1" applyAlignment="1">
      <alignment horizontal="center" vertical="center"/>
      <protection/>
    </xf>
    <xf numFmtId="164" fontId="9" fillId="0" borderId="52" xfId="77" applyNumberFormat="1" applyFont="1" applyFill="1" applyBorder="1" applyAlignment="1">
      <alignment horizontal="center" vertical="center"/>
      <protection/>
    </xf>
    <xf numFmtId="164" fontId="11" fillId="0" borderId="10" xfId="77" applyNumberFormat="1" applyFont="1" applyFill="1" applyBorder="1" applyAlignment="1">
      <alignment horizontal="center" vertical="center" wrapText="1"/>
      <protection/>
    </xf>
    <xf numFmtId="164" fontId="11" fillId="0" borderId="26" xfId="77" applyNumberFormat="1" applyFont="1" applyFill="1" applyBorder="1" applyAlignment="1">
      <alignment horizontal="center" vertical="center" wrapText="1"/>
      <protection/>
    </xf>
    <xf numFmtId="164" fontId="9" fillId="0" borderId="10" xfId="77" applyNumberFormat="1" applyFont="1" applyFill="1" applyBorder="1" applyAlignment="1">
      <alignment horizontal="center" vertical="center"/>
      <protection/>
    </xf>
    <xf numFmtId="164" fontId="9" fillId="0" borderId="14" xfId="77" applyNumberFormat="1" applyFont="1" applyFill="1" applyBorder="1" applyAlignment="1">
      <alignment horizontal="center" vertical="center"/>
      <protection/>
    </xf>
    <xf numFmtId="164" fontId="11" fillId="0" borderId="11" xfId="77" applyNumberFormat="1" applyFont="1" applyFill="1" applyBorder="1" applyAlignment="1">
      <alignment horizontal="center" vertical="center" wrapText="1"/>
      <protection/>
    </xf>
    <xf numFmtId="164" fontId="11" fillId="0" borderId="30" xfId="77" applyNumberFormat="1" applyFont="1" applyFill="1" applyBorder="1" applyAlignment="1">
      <alignment horizontal="center" vertical="center" wrapText="1"/>
      <protection/>
    </xf>
    <xf numFmtId="0" fontId="11" fillId="0" borderId="0" xfId="0" applyFont="1" applyAlignment="1">
      <alignment horizontal="right"/>
    </xf>
    <xf numFmtId="164" fontId="11" fillId="0" borderId="14" xfId="77" applyNumberFormat="1" applyFont="1" applyFill="1" applyBorder="1" applyAlignment="1">
      <alignment horizontal="center" vertical="center" wrapText="1"/>
      <protection/>
    </xf>
    <xf numFmtId="164" fontId="11" fillId="0" borderId="59" xfId="77" applyNumberFormat="1" applyFont="1" applyFill="1" applyBorder="1" applyAlignment="1">
      <alignment horizontal="center" vertical="center" wrapText="1"/>
      <protection/>
    </xf>
    <xf numFmtId="164" fontId="9" fillId="0" borderId="0" xfId="60" applyNumberFormat="1" applyFont="1" applyFill="1" applyAlignment="1">
      <alignment horizontal="center" vertical="center"/>
      <protection/>
    </xf>
    <xf numFmtId="164" fontId="9" fillId="0" borderId="47" xfId="80" applyNumberFormat="1" applyFont="1" applyFill="1" applyBorder="1" applyAlignment="1">
      <alignment horizontal="center" vertical="center" wrapText="1"/>
      <protection/>
    </xf>
    <xf numFmtId="164" fontId="9" fillId="0" borderId="48" xfId="80" applyNumberFormat="1" applyFont="1" applyFill="1" applyBorder="1" applyAlignment="1">
      <alignment horizontal="center" vertical="center" wrapText="1"/>
      <protection/>
    </xf>
    <xf numFmtId="164" fontId="9" fillId="0" borderId="46" xfId="80" applyNumberFormat="1" applyFont="1" applyFill="1" applyBorder="1" applyAlignment="1">
      <alignment horizontal="center" vertical="center" wrapText="1"/>
      <protection/>
    </xf>
    <xf numFmtId="164" fontId="9" fillId="0" borderId="25" xfId="80" applyNumberFormat="1" applyFont="1" applyFill="1" applyBorder="1" applyAlignment="1">
      <alignment horizontal="center" vertical="center"/>
      <protection/>
    </xf>
    <xf numFmtId="164" fontId="9" fillId="0" borderId="10" xfId="80" applyNumberFormat="1" applyFont="1" applyFill="1" applyBorder="1" applyAlignment="1">
      <alignment horizontal="center" vertical="center"/>
      <protection/>
    </xf>
    <xf numFmtId="164" fontId="9" fillId="0" borderId="26" xfId="80" applyNumberFormat="1" applyFont="1" applyFill="1" applyBorder="1" applyAlignment="1">
      <alignment horizontal="center" vertical="center"/>
      <protection/>
    </xf>
    <xf numFmtId="164" fontId="20" fillId="0" borderId="28" xfId="65" applyNumberFormat="1" applyFont="1" applyFill="1" applyBorder="1" applyAlignment="1">
      <alignment horizontal="left" vertical="center"/>
      <protection/>
    </xf>
    <xf numFmtId="164" fontId="20" fillId="0" borderId="27" xfId="65" applyNumberFormat="1" applyFont="1" applyFill="1" applyBorder="1" applyAlignment="1">
      <alignment horizontal="left" vertical="center"/>
      <protection/>
    </xf>
    <xf numFmtId="164" fontId="20" fillId="0" borderId="41" xfId="65" applyNumberFormat="1" applyFont="1" applyFill="1" applyBorder="1" applyAlignment="1">
      <alignment horizontal="left" vertical="center"/>
      <protection/>
    </xf>
    <xf numFmtId="49" fontId="23" fillId="0" borderId="12" xfId="68" applyNumberFormat="1" applyFont="1" applyFill="1" applyBorder="1" applyAlignment="1">
      <alignment horizontal="left" vertical="center" wrapText="1"/>
      <protection/>
    </xf>
    <xf numFmtId="49" fontId="23" fillId="0" borderId="10" xfId="68" applyNumberFormat="1" applyFont="1" applyFill="1" applyBorder="1" applyAlignment="1">
      <alignment horizontal="left" vertical="center" wrapText="1"/>
      <protection/>
    </xf>
    <xf numFmtId="3" fontId="24" fillId="0" borderId="37" xfId="82" applyNumberFormat="1" applyFont="1" applyFill="1" applyBorder="1" applyAlignment="1" applyProtection="1">
      <alignment horizontal="right" vertical="center"/>
      <protection locked="0"/>
    </xf>
    <xf numFmtId="3" fontId="24" fillId="0" borderId="36" xfId="82" applyNumberFormat="1" applyFont="1" applyFill="1" applyBorder="1" applyAlignment="1" applyProtection="1">
      <alignment horizontal="right" vertical="center"/>
      <protection locked="0"/>
    </xf>
    <xf numFmtId="3" fontId="11" fillId="0" borderId="45" xfId="68" applyNumberFormat="1" applyFont="1" applyFill="1" applyBorder="1" applyAlignment="1">
      <alignment horizontal="right" vertical="center"/>
      <protection/>
    </xf>
    <xf numFmtId="3" fontId="11" fillId="0" borderId="38" xfId="68" applyNumberFormat="1" applyFont="1" applyFill="1" applyBorder="1" applyAlignment="1">
      <alignment horizontal="right" vertical="center"/>
      <protection/>
    </xf>
    <xf numFmtId="3" fontId="11" fillId="0" borderId="21" xfId="68" applyNumberFormat="1" applyFont="1" applyFill="1" applyBorder="1" applyAlignment="1">
      <alignment horizontal="right" vertical="center"/>
      <protection/>
    </xf>
    <xf numFmtId="0" fontId="11" fillId="0" borderId="58" xfId="85" applyFont="1" applyFill="1" applyBorder="1" applyAlignment="1">
      <alignment horizontal="justify" vertical="center" wrapText="1"/>
      <protection/>
    </xf>
    <xf numFmtId="0" fontId="11" fillId="0" borderId="40" xfId="85" applyFont="1" applyFill="1" applyBorder="1" applyAlignment="1">
      <alignment horizontal="justify" vertical="center" wrapText="1"/>
      <protection/>
    </xf>
    <xf numFmtId="0" fontId="11" fillId="0" borderId="58" xfId="85" applyFont="1" applyFill="1" applyBorder="1" applyAlignment="1">
      <alignment horizontal="left" vertical="center" wrapText="1"/>
      <protection/>
    </xf>
    <xf numFmtId="0" fontId="11" fillId="0" borderId="40" xfId="85" applyFont="1" applyFill="1" applyBorder="1" applyAlignment="1">
      <alignment horizontal="left" vertical="center" wrapText="1"/>
      <protection/>
    </xf>
    <xf numFmtId="0" fontId="11" fillId="0" borderId="10" xfId="68" applyFont="1" applyFill="1" applyBorder="1" applyAlignment="1">
      <alignment horizontal="justify" vertical="center" wrapText="1"/>
      <protection/>
    </xf>
    <xf numFmtId="164" fontId="11" fillId="0" borderId="10" xfId="60" applyNumberFormat="1" applyFont="1" applyFill="1" applyBorder="1" applyAlignment="1">
      <alignment horizontal="justify" vertical="center" wrapText="1"/>
      <protection/>
    </xf>
    <xf numFmtId="164" fontId="11" fillId="0" borderId="88" xfId="60" applyNumberFormat="1" applyFont="1" applyFill="1" applyBorder="1" applyAlignment="1">
      <alignment horizontal="justify" vertical="center" wrapText="1"/>
      <protection/>
    </xf>
    <xf numFmtId="164" fontId="11" fillId="0" borderId="42" xfId="60" applyNumberFormat="1" applyFont="1" applyFill="1" applyBorder="1" applyAlignment="1">
      <alignment horizontal="justify" vertical="center" wrapText="1"/>
      <protection/>
    </xf>
    <xf numFmtId="0" fontId="11" fillId="0" borderId="58" xfId="68" applyFont="1" applyFill="1" applyBorder="1" applyAlignment="1">
      <alignment horizontal="left" vertical="center" wrapText="1"/>
      <protection/>
    </xf>
    <xf numFmtId="0" fontId="11" fillId="0" borderId="40" xfId="68" applyFont="1" applyFill="1" applyBorder="1" applyAlignment="1">
      <alignment horizontal="left" vertical="center" wrapText="1"/>
      <protection/>
    </xf>
    <xf numFmtId="164" fontId="11" fillId="0" borderId="58" xfId="60" applyNumberFormat="1" applyFont="1" applyFill="1" applyBorder="1" applyAlignment="1">
      <alignment horizontal="justify" vertical="center" wrapText="1"/>
      <protection/>
    </xf>
    <xf numFmtId="164" fontId="11" fillId="0" borderId="40" xfId="60" applyNumberFormat="1" applyFont="1" applyFill="1" applyBorder="1" applyAlignment="1">
      <alignment horizontal="justify" vertical="center" wrapText="1"/>
      <protection/>
    </xf>
    <xf numFmtId="164" fontId="11" fillId="0" borderId="58" xfId="60" applyNumberFormat="1" applyFont="1" applyFill="1" applyBorder="1" applyAlignment="1">
      <alignment horizontal="left" vertical="center" wrapText="1"/>
      <protection/>
    </xf>
    <xf numFmtId="164" fontId="11" fillId="0" borderId="40" xfId="60" applyNumberFormat="1" applyFont="1" applyFill="1" applyBorder="1" applyAlignment="1">
      <alignment horizontal="left" vertical="center" wrapText="1"/>
      <protection/>
    </xf>
    <xf numFmtId="164" fontId="11" fillId="0" borderId="121" xfId="60" applyNumberFormat="1" applyFont="1" applyFill="1" applyBorder="1" applyAlignment="1">
      <alignment horizontal="left" vertical="center" wrapText="1"/>
      <protection/>
    </xf>
    <xf numFmtId="164" fontId="11" fillId="0" borderId="54" xfId="60" applyNumberFormat="1" applyFont="1" applyFill="1" applyBorder="1" applyAlignment="1">
      <alignment horizontal="left" vertical="center" wrapText="1"/>
      <protection/>
    </xf>
    <xf numFmtId="164" fontId="11" fillId="0" borderId="10" xfId="60" applyNumberFormat="1" applyFont="1" applyFill="1" applyBorder="1" applyAlignment="1">
      <alignment horizontal="justify" vertical="center" wrapText="1"/>
      <protection/>
    </xf>
    <xf numFmtId="3" fontId="11" fillId="0" borderId="15" xfId="0" applyNumberFormat="1" applyFont="1" applyFill="1" applyBorder="1" applyAlignment="1">
      <alignment horizontal="right" vertical="center"/>
    </xf>
    <xf numFmtId="3" fontId="11" fillId="0" borderId="38" xfId="0" applyNumberFormat="1" applyFont="1" applyFill="1" applyBorder="1" applyAlignment="1">
      <alignment horizontal="right" vertical="center"/>
    </xf>
    <xf numFmtId="3" fontId="11" fillId="0" borderId="38" xfId="64" applyNumberFormat="1" applyFont="1" applyFill="1" applyBorder="1" applyAlignment="1">
      <alignment horizontal="right" vertical="center"/>
      <protection/>
    </xf>
    <xf numFmtId="3" fontId="11" fillId="0" borderId="45" xfId="64" applyNumberFormat="1" applyFont="1" applyFill="1" applyBorder="1" applyAlignment="1">
      <alignment horizontal="right" vertical="center"/>
      <protection/>
    </xf>
    <xf numFmtId="3" fontId="11" fillId="0" borderId="21" xfId="64" applyNumberFormat="1" applyFont="1" applyFill="1" applyBorder="1" applyAlignment="1">
      <alignment horizontal="right" vertical="center"/>
      <protection/>
    </xf>
    <xf numFmtId="3" fontId="11" fillId="0" borderId="15" xfId="64" applyNumberFormat="1" applyFont="1" applyFill="1" applyBorder="1" applyAlignment="1">
      <alignment horizontal="right" vertical="center"/>
      <protection/>
    </xf>
    <xf numFmtId="164" fontId="62" fillId="0" borderId="116" xfId="60" applyNumberFormat="1" applyFont="1" applyFill="1" applyBorder="1" applyAlignment="1">
      <alignment horizontal="center" vertical="center" wrapText="1"/>
      <protection/>
    </xf>
    <xf numFmtId="164" fontId="62" fillId="0" borderId="35" xfId="60" applyNumberFormat="1" applyFont="1" applyFill="1" applyBorder="1" applyAlignment="1">
      <alignment horizontal="center" vertical="center" wrapText="1"/>
      <protection/>
    </xf>
    <xf numFmtId="164" fontId="62" fillId="0" borderId="55" xfId="60" applyNumberFormat="1" applyFont="1" applyFill="1" applyBorder="1" applyAlignment="1">
      <alignment horizontal="center" vertical="center" wrapText="1"/>
      <protection/>
    </xf>
    <xf numFmtId="164" fontId="62" fillId="0" borderId="28" xfId="68" applyNumberFormat="1" applyFont="1" applyFill="1" applyBorder="1" applyAlignment="1">
      <alignment horizontal="center" vertical="center" wrapText="1"/>
      <protection/>
    </xf>
    <xf numFmtId="164" fontId="62" fillId="0" borderId="27" xfId="68" applyNumberFormat="1" applyFont="1" applyFill="1" applyBorder="1" applyAlignment="1">
      <alignment horizontal="center" vertical="center" wrapText="1"/>
      <protection/>
    </xf>
    <xf numFmtId="164" fontId="62" fillId="0" borderId="41" xfId="68" applyNumberFormat="1" applyFont="1" applyFill="1" applyBorder="1" applyAlignment="1">
      <alignment horizontal="center" vertical="center" wrapText="1"/>
      <protection/>
    </xf>
    <xf numFmtId="164" fontId="11" fillId="0" borderId="85" xfId="68" applyNumberFormat="1" applyFont="1" applyFill="1" applyBorder="1" applyAlignment="1">
      <alignment horizontal="center" vertical="center" wrapText="1"/>
      <protection/>
    </xf>
    <xf numFmtId="164" fontId="11" fillId="0" borderId="20" xfId="68" applyNumberFormat="1" applyFont="1" applyFill="1" applyBorder="1" applyAlignment="1">
      <alignment horizontal="center" vertical="center" wrapText="1"/>
      <protection/>
    </xf>
    <xf numFmtId="164" fontId="11" fillId="0" borderId="116" xfId="68" applyNumberFormat="1" applyFont="1" applyFill="1" applyBorder="1" applyAlignment="1">
      <alignment horizontal="center" vertical="center" wrapText="1"/>
      <protection/>
    </xf>
    <xf numFmtId="49" fontId="65" fillId="0" borderId="28" xfId="68" applyNumberFormat="1" applyFont="1" applyFill="1" applyBorder="1" applyAlignment="1">
      <alignment horizontal="center" vertical="center" wrapText="1"/>
      <protection/>
    </xf>
    <xf numFmtId="0" fontId="66" fillId="0" borderId="27" xfId="68" applyFont="1" applyFill="1" applyBorder="1" applyAlignment="1">
      <alignment horizontal="center" vertical="center" wrapText="1"/>
      <protection/>
    </xf>
    <xf numFmtId="0" fontId="66" fillId="0" borderId="41" xfId="68" applyFont="1" applyFill="1" applyBorder="1" applyAlignment="1">
      <alignment horizontal="center" vertical="center" wrapText="1"/>
      <protection/>
    </xf>
    <xf numFmtId="164" fontId="65" fillId="0" borderId="28" xfId="68" applyNumberFormat="1" applyFont="1" applyFill="1" applyBorder="1" applyAlignment="1">
      <alignment horizontal="center" vertical="center" wrapText="1"/>
      <protection/>
    </xf>
    <xf numFmtId="0" fontId="24" fillId="0" borderId="10" xfId="68" applyFont="1" applyFill="1" applyBorder="1" applyAlignment="1">
      <alignment horizontal="justify" vertical="center" wrapText="1"/>
      <protection/>
    </xf>
    <xf numFmtId="164" fontId="24" fillId="0" borderId="58" xfId="82" applyNumberFormat="1" applyFont="1" applyFill="1" applyBorder="1" applyAlignment="1" applyProtection="1">
      <alignment horizontal="justify" vertical="center" wrapText="1"/>
      <protection locked="0"/>
    </xf>
    <xf numFmtId="164" fontId="24" fillId="0" borderId="40" xfId="82" applyNumberFormat="1" applyFont="1" applyFill="1" applyBorder="1" applyAlignment="1" applyProtection="1">
      <alignment horizontal="justify" vertical="center" wrapText="1"/>
      <protection locked="0"/>
    </xf>
    <xf numFmtId="49" fontId="11" fillId="0" borderId="91" xfId="68" applyNumberFormat="1" applyFont="1" applyFill="1" applyBorder="1" applyAlignment="1">
      <alignment horizontal="justify" vertical="center" wrapText="1"/>
      <protection/>
    </xf>
    <xf numFmtId="49" fontId="11" fillId="0" borderId="41" xfId="68" applyNumberFormat="1" applyFont="1" applyFill="1" applyBorder="1" applyAlignment="1">
      <alignment horizontal="justify" vertical="center" wrapText="1"/>
      <protection/>
    </xf>
    <xf numFmtId="164" fontId="24" fillId="0" borderId="25" xfId="67" applyNumberFormat="1" applyFont="1" applyFill="1" applyBorder="1" applyAlignment="1" applyProtection="1">
      <alignment horizontal="justify" vertical="center" wrapText="1"/>
      <protection locked="0"/>
    </xf>
    <xf numFmtId="164" fontId="24" fillId="0" borderId="10" xfId="67" applyNumberFormat="1" applyFont="1" applyFill="1" applyBorder="1" applyAlignment="1" applyProtection="1">
      <alignment horizontal="justify" vertical="center" wrapText="1"/>
      <protection locked="0"/>
    </xf>
    <xf numFmtId="0" fontId="11" fillId="0" borderId="51" xfId="70" applyFont="1" applyFill="1" applyBorder="1" applyAlignment="1">
      <alignment horizontal="center" vertical="center"/>
      <protection/>
    </xf>
    <xf numFmtId="0" fontId="11" fillId="0" borderId="12" xfId="70" applyFont="1" applyFill="1" applyBorder="1" applyAlignment="1">
      <alignment horizontal="center" vertical="center"/>
      <protection/>
    </xf>
    <xf numFmtId="0" fontId="24" fillId="0" borderId="25" xfId="85" applyFont="1" applyFill="1" applyBorder="1" applyAlignment="1">
      <alignment horizontal="left" vertical="center" wrapText="1"/>
      <protection/>
    </xf>
    <xf numFmtId="164" fontId="24" fillId="0" borderId="23" xfId="67" applyNumberFormat="1" applyFont="1" applyFill="1" applyBorder="1" applyAlignment="1" applyProtection="1">
      <alignment horizontal="justify" vertical="center" wrapText="1"/>
      <protection locked="0"/>
    </xf>
    <xf numFmtId="49" fontId="11" fillId="0" borderId="10" xfId="64" applyNumberFormat="1" applyFont="1" applyFill="1" applyBorder="1" applyAlignment="1">
      <alignment horizontal="justify" vertical="center" wrapText="1"/>
      <protection/>
    </xf>
    <xf numFmtId="49" fontId="11" fillId="0" borderId="58" xfId="0" applyNumberFormat="1" applyFont="1" applyFill="1" applyBorder="1" applyAlignment="1">
      <alignment horizontal="justify" vertical="center" wrapText="1"/>
    </xf>
    <xf numFmtId="49" fontId="11" fillId="0" borderId="40" xfId="0" applyNumberFormat="1" applyFont="1" applyFill="1" applyBorder="1" applyAlignment="1">
      <alignment horizontal="justify" vertical="center" wrapText="1"/>
    </xf>
    <xf numFmtId="164" fontId="24" fillId="0" borderId="58" xfId="67" applyNumberFormat="1" applyFont="1" applyFill="1" applyBorder="1" applyAlignment="1" applyProtection="1">
      <alignment horizontal="justify" vertical="center" wrapText="1"/>
      <protection locked="0"/>
    </xf>
    <xf numFmtId="164" fontId="24" fillId="0" borderId="40" xfId="67" applyNumberFormat="1" applyFont="1" applyFill="1" applyBorder="1" applyAlignment="1" applyProtection="1">
      <alignment horizontal="justify" vertical="center" wrapText="1"/>
      <protection locked="0"/>
    </xf>
    <xf numFmtId="49" fontId="11" fillId="0" borderId="26" xfId="0" applyNumberFormat="1" applyFont="1" applyFill="1" applyBorder="1" applyAlignment="1">
      <alignment horizontal="justify" vertical="center" wrapText="1"/>
    </xf>
    <xf numFmtId="0" fontId="24" fillId="0" borderId="58" xfId="67" applyFont="1" applyFill="1" applyBorder="1" applyAlignment="1" applyProtection="1">
      <alignment horizontal="justify" vertical="center" wrapText="1"/>
      <protection locked="0"/>
    </xf>
    <xf numFmtId="0" fontId="24" fillId="0" borderId="40" xfId="67" applyFont="1" applyFill="1" applyBorder="1" applyAlignment="1" applyProtection="1">
      <alignment horizontal="justify" vertical="center" wrapText="1"/>
      <protection locked="0"/>
    </xf>
    <xf numFmtId="0" fontId="11" fillId="0" borderId="58" xfId="77" applyFont="1" applyFill="1" applyBorder="1" applyAlignment="1">
      <alignment horizontal="justify" vertical="center" wrapText="1"/>
      <protection/>
    </xf>
    <xf numFmtId="0" fontId="11" fillId="0" borderId="40" xfId="77" applyFont="1" applyFill="1" applyBorder="1" applyAlignment="1">
      <alignment horizontal="justify" vertical="center" wrapText="1"/>
      <protection/>
    </xf>
    <xf numFmtId="0" fontId="11" fillId="0" borderId="26" xfId="77" applyFont="1" applyFill="1" applyBorder="1" applyAlignment="1">
      <alignment horizontal="justify" vertical="center" wrapText="1"/>
      <protection/>
    </xf>
    <xf numFmtId="164" fontId="24" fillId="0" borderId="26" xfId="67" applyNumberFormat="1" applyFont="1" applyFill="1" applyBorder="1" applyAlignment="1" applyProtection="1">
      <alignment horizontal="justify" vertical="center" wrapText="1"/>
      <protection locked="0"/>
    </xf>
    <xf numFmtId="11" fontId="11" fillId="0" borderId="120" xfId="64" applyNumberFormat="1" applyFont="1" applyFill="1" applyBorder="1" applyAlignment="1">
      <alignment horizontal="justify" vertical="center" wrapText="1"/>
      <protection/>
    </xf>
    <xf numFmtId="11" fontId="11" fillId="0" borderId="65" xfId="64" applyNumberFormat="1" applyFont="1" applyFill="1" applyBorder="1" applyAlignment="1">
      <alignment horizontal="justify" vertical="center" wrapText="1"/>
      <protection/>
    </xf>
    <xf numFmtId="49" fontId="23" fillId="0" borderId="28" xfId="68" applyNumberFormat="1" applyFont="1" applyFill="1" applyBorder="1" applyAlignment="1">
      <alignment horizontal="left" vertical="center" wrapText="1"/>
      <protection/>
    </xf>
    <xf numFmtId="49" fontId="23" fillId="0" borderId="27" xfId="68" applyNumberFormat="1" applyFont="1" applyFill="1" applyBorder="1" applyAlignment="1">
      <alignment horizontal="left" vertical="center" wrapText="1"/>
      <protection/>
    </xf>
    <xf numFmtId="49" fontId="23" fillId="0" borderId="41" xfId="68" applyNumberFormat="1" applyFont="1" applyFill="1" applyBorder="1" applyAlignment="1">
      <alignment horizontal="left" vertical="center" wrapText="1"/>
      <protection/>
    </xf>
    <xf numFmtId="49" fontId="11" fillId="0" borderId="47" xfId="64" applyNumberFormat="1" applyFont="1" applyFill="1" applyBorder="1" applyAlignment="1">
      <alignment vertical="center" wrapText="1"/>
      <protection/>
    </xf>
    <xf numFmtId="49" fontId="11" fillId="0" borderId="48" xfId="64" applyNumberFormat="1" applyFont="1" applyFill="1" applyBorder="1" applyAlignment="1">
      <alignment vertical="center" wrapText="1"/>
      <protection/>
    </xf>
    <xf numFmtId="49" fontId="11" fillId="0" borderId="121" xfId="64" applyNumberFormat="1" applyFont="1" applyFill="1" applyBorder="1" applyAlignment="1">
      <alignment horizontal="justify" vertical="center" wrapText="1"/>
      <protection/>
    </xf>
    <xf numFmtId="49" fontId="11" fillId="0" borderId="54" xfId="64" applyNumberFormat="1" applyFont="1" applyFill="1" applyBorder="1" applyAlignment="1">
      <alignment horizontal="justify" vertical="center" wrapText="1"/>
      <protection/>
    </xf>
    <xf numFmtId="49" fontId="11" fillId="0" borderId="24" xfId="64" applyNumberFormat="1" applyFont="1" applyFill="1" applyBorder="1" applyAlignment="1">
      <alignment horizontal="left" vertical="center" wrapText="1"/>
      <protection/>
    </xf>
    <xf numFmtId="49" fontId="11" fillId="0" borderId="48" xfId="64" applyNumberFormat="1" applyFont="1" applyFill="1" applyBorder="1" applyAlignment="1">
      <alignment horizontal="left" vertical="center" wrapText="1"/>
      <protection/>
    </xf>
    <xf numFmtId="49" fontId="11" fillId="0" borderId="22" xfId="64" applyNumberFormat="1" applyFont="1" applyFill="1" applyBorder="1" applyAlignment="1">
      <alignment horizontal="left" vertical="center" wrapText="1"/>
      <protection/>
    </xf>
    <xf numFmtId="164" fontId="24" fillId="0" borderId="58" xfId="69" applyNumberFormat="1" applyFont="1" applyFill="1" applyBorder="1" applyAlignment="1" applyProtection="1">
      <alignment horizontal="justify" vertical="center" wrapText="1"/>
      <protection locked="0"/>
    </xf>
    <xf numFmtId="164" fontId="24" fillId="0" borderId="40" xfId="69" applyNumberFormat="1" applyFont="1" applyFill="1" applyBorder="1" applyAlignment="1" applyProtection="1">
      <alignment horizontal="justify" vertical="center" wrapText="1"/>
      <protection locked="0"/>
    </xf>
    <xf numFmtId="164" fontId="62" fillId="0" borderId="116" xfId="68" applyNumberFormat="1" applyFont="1" applyFill="1" applyBorder="1" applyAlignment="1">
      <alignment horizontal="center" vertical="center" wrapText="1"/>
      <protection/>
    </xf>
    <xf numFmtId="164" fontId="62" fillId="0" borderId="35" xfId="68" applyNumberFormat="1" applyFont="1" applyFill="1" applyBorder="1" applyAlignment="1">
      <alignment horizontal="center" vertical="center" wrapText="1"/>
      <protection/>
    </xf>
    <xf numFmtId="164" fontId="62" fillId="0" borderId="55" xfId="68" applyNumberFormat="1" applyFont="1" applyFill="1" applyBorder="1" applyAlignment="1">
      <alignment horizontal="center" vertical="center" wrapText="1"/>
      <protection/>
    </xf>
    <xf numFmtId="49" fontId="11" fillId="0" borderId="120" xfId="0" applyNumberFormat="1" applyFont="1" applyFill="1" applyBorder="1" applyAlignment="1">
      <alignment horizontal="justify" vertical="center" wrapText="1"/>
    </xf>
    <xf numFmtId="49" fontId="11" fillId="0" borderId="65" xfId="0" applyNumberFormat="1" applyFont="1" applyFill="1" applyBorder="1" applyAlignment="1">
      <alignment horizontal="justify" vertical="center" wrapText="1"/>
    </xf>
    <xf numFmtId="49" fontId="11" fillId="0" borderId="58" xfId="64" applyNumberFormat="1" applyFont="1" applyFill="1" applyBorder="1" applyAlignment="1">
      <alignment horizontal="justify" vertical="center" wrapText="1"/>
      <protection/>
    </xf>
    <xf numFmtId="49" fontId="11" fillId="0" borderId="40" xfId="64" applyNumberFormat="1" applyFont="1" applyFill="1" applyBorder="1" applyAlignment="1">
      <alignment horizontal="justify" vertical="center" wrapText="1"/>
      <protection/>
    </xf>
    <xf numFmtId="164" fontId="24" fillId="0" borderId="88" xfId="82" applyNumberFormat="1" applyFont="1" applyFill="1" applyBorder="1" applyAlignment="1" applyProtection="1">
      <alignment horizontal="justify" vertical="center" wrapText="1"/>
      <protection locked="0"/>
    </xf>
    <xf numFmtId="164" fontId="24" fillId="0" borderId="42" xfId="82" applyNumberFormat="1" applyFont="1" applyFill="1" applyBorder="1" applyAlignment="1" applyProtection="1">
      <alignment horizontal="justify" vertical="center" wrapText="1"/>
      <protection locked="0"/>
    </xf>
    <xf numFmtId="49" fontId="11" fillId="0" borderId="58" xfId="68" applyNumberFormat="1" applyFont="1" applyFill="1" applyBorder="1" applyAlignment="1">
      <alignment horizontal="justify" vertical="center" wrapText="1"/>
      <protection/>
    </xf>
    <xf numFmtId="49" fontId="11" fillId="0" borderId="40" xfId="68" applyNumberFormat="1" applyFont="1" applyFill="1" applyBorder="1" applyAlignment="1">
      <alignment horizontal="justify" vertical="center" wrapText="1"/>
      <protection/>
    </xf>
    <xf numFmtId="164" fontId="11" fillId="0" borderId="89" xfId="68" applyNumberFormat="1" applyFont="1" applyFill="1" applyBorder="1" applyAlignment="1">
      <alignment horizontal="justify" vertical="center" wrapText="1"/>
      <protection/>
    </xf>
    <xf numFmtId="164" fontId="11" fillId="0" borderId="43" xfId="68" applyNumberFormat="1" applyFont="1" applyFill="1" applyBorder="1" applyAlignment="1">
      <alignment horizontal="justify" vertical="center" wrapText="1"/>
      <protection/>
    </xf>
    <xf numFmtId="49" fontId="11" fillId="0" borderId="91" xfId="0" applyNumberFormat="1" applyFont="1" applyFill="1" applyBorder="1" applyAlignment="1">
      <alignment horizontal="justify" vertical="center" wrapText="1"/>
    </xf>
    <xf numFmtId="49" fontId="11" fillId="0" borderId="41" xfId="0" applyNumberFormat="1" applyFont="1" applyFill="1" applyBorder="1" applyAlignment="1">
      <alignment horizontal="justify" vertical="center" wrapText="1"/>
    </xf>
    <xf numFmtId="0" fontId="11" fillId="0" borderId="120" xfId="81" applyFont="1" applyFill="1" applyBorder="1" applyAlignment="1">
      <alignment horizontal="justify" vertical="center" wrapText="1"/>
      <protection/>
    </xf>
    <xf numFmtId="0" fontId="11" fillId="0" borderId="65" xfId="81" applyFont="1" applyFill="1" applyBorder="1" applyAlignment="1">
      <alignment horizontal="justify" vertical="center" wrapText="1"/>
      <protection/>
    </xf>
    <xf numFmtId="164" fontId="24" fillId="0" borderId="120" xfId="67" applyNumberFormat="1" applyFont="1" applyFill="1" applyBorder="1" applyAlignment="1" applyProtection="1">
      <alignment horizontal="justify" vertical="center" wrapText="1"/>
      <protection locked="0"/>
    </xf>
    <xf numFmtId="164" fontId="24" fillId="0" borderId="65" xfId="67" applyNumberFormat="1" applyFont="1" applyFill="1" applyBorder="1" applyAlignment="1" applyProtection="1">
      <alignment horizontal="justify" vertical="center" wrapText="1"/>
      <protection locked="0"/>
    </xf>
    <xf numFmtId="164" fontId="24" fillId="0" borderId="121" xfId="67" applyNumberFormat="1" applyFont="1" applyFill="1" applyBorder="1" applyAlignment="1" applyProtection="1">
      <alignment horizontal="justify" vertical="center" wrapText="1"/>
      <protection locked="0"/>
    </xf>
    <xf numFmtId="164" fontId="24" fillId="0" borderId="54" xfId="67" applyNumberFormat="1" applyFont="1" applyFill="1" applyBorder="1" applyAlignment="1" applyProtection="1">
      <alignment horizontal="justify" vertical="center" wrapText="1"/>
      <protection locked="0"/>
    </xf>
    <xf numFmtId="0" fontId="11" fillId="0" borderId="58" xfId="0" applyFont="1" applyFill="1" applyBorder="1" applyAlignment="1">
      <alignment horizontal="justify" vertical="center" wrapText="1"/>
    </xf>
    <xf numFmtId="0" fontId="0" fillId="0" borderId="40" xfId="0" applyFill="1" applyBorder="1" applyAlignment="1">
      <alignment horizontal="justify"/>
    </xf>
    <xf numFmtId="49" fontId="11" fillId="0" borderId="121" xfId="0" applyNumberFormat="1" applyFont="1" applyFill="1" applyBorder="1" applyAlignment="1">
      <alignment horizontal="justify" vertical="center" wrapText="1"/>
    </xf>
    <xf numFmtId="49" fontId="11" fillId="0" borderId="54" xfId="0" applyNumberFormat="1" applyFont="1" applyFill="1" applyBorder="1" applyAlignment="1">
      <alignment horizontal="justify" vertical="center" wrapText="1"/>
    </xf>
    <xf numFmtId="49" fontId="23" fillId="0" borderId="116" xfId="68" applyNumberFormat="1" applyFont="1" applyFill="1" applyBorder="1" applyAlignment="1">
      <alignment horizontal="left" vertical="center" wrapText="1"/>
      <protection/>
    </xf>
    <xf numFmtId="49" fontId="23" fillId="0" borderId="35" xfId="68" applyNumberFormat="1" applyFont="1" applyFill="1" applyBorder="1" applyAlignment="1">
      <alignment horizontal="left" vertical="center" wrapText="1"/>
      <protection/>
    </xf>
    <xf numFmtId="49" fontId="23" fillId="0" borderId="55" xfId="68" applyNumberFormat="1" applyFont="1" applyFill="1" applyBorder="1" applyAlignment="1">
      <alignment horizontal="left" vertical="center" wrapText="1"/>
      <protection/>
    </xf>
    <xf numFmtId="0" fontId="0" fillId="0" borderId="65" xfId="0" applyFill="1" applyBorder="1" applyAlignment="1">
      <alignment/>
    </xf>
    <xf numFmtId="49" fontId="11" fillId="0" borderId="47" xfId="64" applyNumberFormat="1" applyFont="1" applyFill="1" applyBorder="1" applyAlignment="1">
      <alignment horizontal="left" vertical="center" wrapText="1"/>
      <protection/>
    </xf>
    <xf numFmtId="164" fontId="24" fillId="0" borderId="11" xfId="67" applyNumberFormat="1" applyFont="1" applyFill="1" applyBorder="1" applyAlignment="1" applyProtection="1">
      <alignment horizontal="justify" vertical="center" wrapText="1"/>
      <protection locked="0"/>
    </xf>
    <xf numFmtId="164" fontId="24" fillId="0" borderId="58" xfId="67" applyNumberFormat="1" applyFont="1" applyFill="1" applyBorder="1" applyAlignment="1" applyProtection="1">
      <alignment horizontal="justify" vertical="top" wrapText="1"/>
      <protection locked="0"/>
    </xf>
    <xf numFmtId="164" fontId="24" fillId="0" borderId="40" xfId="67" applyNumberFormat="1" applyFont="1" applyFill="1" applyBorder="1" applyAlignment="1" applyProtection="1">
      <alignment horizontal="justify" vertical="top" wrapText="1"/>
      <protection locked="0"/>
    </xf>
    <xf numFmtId="49" fontId="11" fillId="0" borderId="120" xfId="64" applyNumberFormat="1" applyFont="1" applyFill="1" applyBorder="1" applyAlignment="1">
      <alignment horizontal="justify" vertical="center" wrapText="1"/>
      <protection/>
    </xf>
    <xf numFmtId="49" fontId="11" fillId="0" borderId="65" xfId="64" applyNumberFormat="1" applyFont="1" applyFill="1" applyBorder="1" applyAlignment="1">
      <alignment horizontal="justify" vertical="center" wrapText="1"/>
      <protection/>
    </xf>
    <xf numFmtId="164" fontId="23" fillId="0" borderId="0" xfId="60" applyNumberFormat="1" applyFont="1" applyFill="1" applyAlignment="1">
      <alignment horizontal="center" vertical="center"/>
      <protection/>
    </xf>
    <xf numFmtId="164" fontId="23" fillId="0" borderId="51" xfId="80" applyNumberFormat="1" applyFont="1" applyFill="1" applyBorder="1" applyAlignment="1">
      <alignment horizontal="center" vertical="center" wrapText="1"/>
      <protection/>
    </xf>
    <xf numFmtId="164" fontId="23" fillId="0" borderId="12" xfId="80" applyNumberFormat="1" applyFont="1" applyFill="1" applyBorder="1" applyAlignment="1">
      <alignment horizontal="center" vertical="center" wrapText="1"/>
      <protection/>
    </xf>
    <xf numFmtId="164" fontId="23" fillId="0" borderId="56" xfId="80" applyNumberFormat="1" applyFont="1" applyFill="1" applyBorder="1" applyAlignment="1">
      <alignment horizontal="center" vertical="center" wrapText="1"/>
      <protection/>
    </xf>
    <xf numFmtId="164" fontId="23" fillId="0" borderId="122" xfId="68" applyNumberFormat="1" applyFont="1" applyFill="1" applyBorder="1" applyAlignment="1">
      <alignment horizontal="center" vertical="center" wrapText="1"/>
      <protection/>
    </xf>
    <xf numFmtId="164" fontId="23" fillId="0" borderId="34" xfId="68" applyNumberFormat="1" applyFont="1" applyFill="1" applyBorder="1" applyAlignment="1">
      <alignment horizontal="center" vertical="center" wrapText="1"/>
      <protection/>
    </xf>
    <xf numFmtId="164" fontId="23" fillId="0" borderId="119" xfId="68" applyNumberFormat="1" applyFont="1" applyFill="1" applyBorder="1" applyAlignment="1">
      <alignment horizontal="center" vertical="center" wrapText="1"/>
      <protection/>
    </xf>
    <xf numFmtId="164" fontId="23" fillId="0" borderId="37" xfId="68" applyNumberFormat="1" applyFont="1" applyFill="1" applyBorder="1" applyAlignment="1">
      <alignment horizontal="center" vertical="center" wrapText="1"/>
      <protection/>
    </xf>
    <xf numFmtId="164" fontId="23" fillId="0" borderId="123" xfId="68" applyNumberFormat="1" applyFont="1" applyFill="1" applyBorder="1" applyAlignment="1">
      <alignment horizontal="center" vertical="center" wrapText="1"/>
      <protection/>
    </xf>
    <xf numFmtId="164" fontId="23" fillId="0" borderId="36" xfId="68" applyNumberFormat="1" applyFont="1" applyFill="1" applyBorder="1" applyAlignment="1">
      <alignment horizontal="center" vertical="center" wrapText="1"/>
      <protection/>
    </xf>
    <xf numFmtId="3" fontId="11" fillId="0" borderId="35" xfId="68" applyNumberFormat="1" applyFont="1" applyFill="1" applyBorder="1" applyAlignment="1">
      <alignment horizontal="right" wrapText="1"/>
      <protection/>
    </xf>
    <xf numFmtId="164" fontId="23" fillId="0" borderId="29" xfId="80" applyNumberFormat="1" applyFont="1" applyFill="1" applyBorder="1" applyAlignment="1">
      <alignment horizontal="center" vertical="center" wrapText="1"/>
      <protection/>
    </xf>
    <xf numFmtId="164" fontId="23" fillId="0" borderId="39" xfId="80" applyNumberFormat="1" applyFont="1" applyFill="1" applyBorder="1" applyAlignment="1">
      <alignment horizontal="center" vertical="center" wrapText="1"/>
      <protection/>
    </xf>
    <xf numFmtId="164" fontId="23" fillId="0" borderId="30" xfId="80" applyNumberFormat="1" applyFont="1" applyFill="1" applyBorder="1" applyAlignment="1">
      <alignment horizontal="center" vertical="center" wrapText="1"/>
      <protection/>
    </xf>
    <xf numFmtId="0" fontId="23" fillId="0" borderId="0" xfId="68" applyFont="1" applyFill="1" applyAlignment="1">
      <alignment horizontal="center" vertical="center" wrapText="1"/>
      <protection/>
    </xf>
    <xf numFmtId="164" fontId="11" fillId="0" borderId="0" xfId="60" applyNumberFormat="1" applyFont="1" applyFill="1" applyAlignment="1">
      <alignment horizontal="right" vertical="center"/>
      <protection/>
    </xf>
    <xf numFmtId="49" fontId="62" fillId="0" borderId="28" xfId="68" applyNumberFormat="1" applyFont="1" applyFill="1" applyBorder="1" applyAlignment="1">
      <alignment horizontal="center" vertical="center" wrapText="1"/>
      <protection/>
    </xf>
    <xf numFmtId="49" fontId="62" fillId="0" borderId="27" xfId="68" applyNumberFormat="1" applyFont="1" applyFill="1" applyBorder="1" applyAlignment="1">
      <alignment horizontal="center" vertical="center" wrapText="1"/>
      <protection/>
    </xf>
    <xf numFmtId="49" fontId="62" fillId="0" borderId="41" xfId="68" applyNumberFormat="1" applyFont="1" applyFill="1" applyBorder="1" applyAlignment="1">
      <alignment horizontal="center" vertical="center" wrapText="1"/>
      <protection/>
    </xf>
    <xf numFmtId="49" fontId="11" fillId="0" borderId="51" xfId="64" applyNumberFormat="1" applyFont="1" applyFill="1" applyBorder="1" applyAlignment="1">
      <alignment horizontal="left" vertical="center" wrapText="1"/>
      <protection/>
    </xf>
    <xf numFmtId="49" fontId="11" fillId="0" borderId="12" xfId="64" applyNumberFormat="1" applyFont="1" applyFill="1" applyBorder="1" applyAlignment="1">
      <alignment horizontal="left" vertical="center" wrapText="1"/>
      <protection/>
    </xf>
    <xf numFmtId="164" fontId="24" fillId="0" borderId="10" xfId="0" applyNumberFormat="1" applyFont="1" applyFill="1" applyBorder="1" applyAlignment="1" applyProtection="1">
      <alignment horizontal="justify" vertical="center" wrapText="1"/>
      <protection locked="0"/>
    </xf>
    <xf numFmtId="3" fontId="11" fillId="0" borderId="121" xfId="81" applyNumberFormat="1" applyFont="1" applyFill="1" applyBorder="1" applyAlignment="1">
      <alignment horizontal="justify" vertical="center" wrapText="1"/>
      <protection/>
    </xf>
    <xf numFmtId="0" fontId="0" fillId="0" borderId="54" xfId="0" applyFill="1" applyBorder="1" applyAlignment="1">
      <alignment horizontal="justify" vertical="center" wrapText="1"/>
    </xf>
    <xf numFmtId="164" fontId="24" fillId="0" borderId="88" xfId="0" applyNumberFormat="1" applyFont="1" applyFill="1" applyBorder="1" applyAlignment="1" applyProtection="1">
      <alignment horizontal="justify" vertical="center" wrapText="1"/>
      <protection locked="0"/>
    </xf>
    <xf numFmtId="164" fontId="24" fillId="0" borderId="42" xfId="0" applyNumberFormat="1" applyFont="1" applyFill="1" applyBorder="1" applyAlignment="1" applyProtection="1">
      <alignment horizontal="justify" vertical="center" wrapText="1"/>
      <protection locked="0"/>
    </xf>
    <xf numFmtId="3" fontId="24" fillId="0" borderId="26" xfId="81" applyNumberFormat="1" applyFont="1" applyFill="1" applyBorder="1" applyAlignment="1">
      <alignment horizontal="justify" vertical="center" wrapText="1"/>
      <protection/>
    </xf>
    <xf numFmtId="0" fontId="19" fillId="0" borderId="27" xfId="68" applyFont="1" applyFill="1" applyBorder="1" applyAlignment="1">
      <alignment horizontal="left" vertical="center" wrapText="1"/>
      <protection/>
    </xf>
    <xf numFmtId="0" fontId="19" fillId="0" borderId="41" xfId="68" applyFont="1" applyFill="1" applyBorder="1" applyAlignment="1">
      <alignment horizontal="left" vertical="center" wrapText="1"/>
      <protection/>
    </xf>
    <xf numFmtId="3" fontId="24" fillId="0" borderId="58" xfId="60" applyNumberFormat="1" applyFont="1" applyFill="1" applyBorder="1" applyAlignment="1">
      <alignment horizontal="justify" vertical="center" wrapText="1"/>
      <protection/>
    </xf>
    <xf numFmtId="3" fontId="24" fillId="0" borderId="40" xfId="60" applyNumberFormat="1" applyFont="1" applyFill="1" applyBorder="1" applyAlignment="1">
      <alignment horizontal="justify" vertical="center" wrapText="1"/>
      <protection/>
    </xf>
    <xf numFmtId="3" fontId="11" fillId="0" borderId="58" xfId="81" applyNumberFormat="1" applyFont="1" applyFill="1" applyBorder="1" applyAlignment="1">
      <alignment horizontal="justify" vertical="center" wrapText="1"/>
      <protection/>
    </xf>
    <xf numFmtId="3" fontId="11" fillId="0" borderId="40" xfId="81" applyNumberFormat="1" applyFont="1" applyFill="1" applyBorder="1" applyAlignment="1">
      <alignment horizontal="justify" vertical="center" wrapText="1"/>
      <protection/>
    </xf>
    <xf numFmtId="164" fontId="24" fillId="0" borderId="58" xfId="0" applyNumberFormat="1" applyFont="1" applyFill="1" applyBorder="1" applyAlignment="1" applyProtection="1">
      <alignment horizontal="justify" vertical="center" wrapText="1"/>
      <protection locked="0"/>
    </xf>
    <xf numFmtId="164" fontId="24" fillId="0" borderId="40" xfId="0" applyNumberFormat="1" applyFont="1" applyFill="1" applyBorder="1" applyAlignment="1" applyProtection="1">
      <alignment horizontal="justify" vertical="center" wrapText="1"/>
      <protection locked="0"/>
    </xf>
    <xf numFmtId="49" fontId="11" fillId="0" borderId="85" xfId="64" applyNumberFormat="1" applyFont="1" applyFill="1" applyBorder="1" applyAlignment="1">
      <alignment horizontal="left" vertical="center" wrapText="1"/>
      <protection/>
    </xf>
    <xf numFmtId="49" fontId="11" fillId="0" borderId="20" xfId="64" applyNumberFormat="1" applyFont="1" applyFill="1" applyBorder="1" applyAlignment="1">
      <alignment horizontal="left" vertical="center" wrapText="1"/>
      <protection/>
    </xf>
    <xf numFmtId="164" fontId="11" fillId="0" borderId="58" xfId="89" applyNumberFormat="1" applyFont="1" applyFill="1" applyBorder="1" applyAlignment="1" applyProtection="1">
      <alignment horizontal="justify" vertical="center" wrapText="1"/>
      <protection locked="0"/>
    </xf>
    <xf numFmtId="164" fontId="11" fillId="0" borderId="40" xfId="89" applyNumberFormat="1" applyFont="1" applyFill="1" applyBorder="1" applyAlignment="1" applyProtection="1">
      <alignment horizontal="justify" vertical="center" wrapText="1"/>
      <protection locked="0"/>
    </xf>
    <xf numFmtId="0" fontId="64" fillId="0" borderId="27" xfId="68" applyFont="1" applyFill="1" applyBorder="1" applyAlignment="1">
      <alignment horizontal="center" vertical="center" wrapText="1"/>
      <protection/>
    </xf>
    <xf numFmtId="0" fontId="64" fillId="0" borderId="41" xfId="68" applyFont="1" applyFill="1" applyBorder="1" applyAlignment="1">
      <alignment horizontal="center" vertical="center" wrapText="1"/>
      <protection/>
    </xf>
    <xf numFmtId="0" fontId="11" fillId="0" borderId="88" xfId="0" applyFont="1" applyFill="1" applyBorder="1" applyAlignment="1">
      <alignment horizontal="justify" vertical="center" wrapText="1"/>
    </xf>
    <xf numFmtId="0" fontId="11" fillId="0" borderId="42" xfId="0" applyFont="1" applyFill="1" applyBorder="1" applyAlignment="1">
      <alignment horizontal="justify" vertical="center" wrapText="1"/>
    </xf>
    <xf numFmtId="0" fontId="11" fillId="0" borderId="40" xfId="0" applyFont="1" applyFill="1" applyBorder="1" applyAlignment="1">
      <alignment horizontal="justify" vertical="center" wrapText="1"/>
    </xf>
    <xf numFmtId="164" fontId="24" fillId="0" borderId="26" xfId="88" applyNumberFormat="1" applyFont="1" applyFill="1" applyBorder="1" applyAlignment="1" applyProtection="1">
      <alignment horizontal="left" vertical="center" wrapText="1"/>
      <protection locked="0"/>
    </xf>
    <xf numFmtId="0" fontId="11" fillId="0" borderId="58" xfId="0" applyNumberFormat="1" applyFont="1" applyFill="1" applyBorder="1" applyAlignment="1">
      <alignment horizontal="justify" vertical="center" wrapText="1"/>
    </xf>
    <xf numFmtId="0" fontId="11" fillId="0" borderId="40" xfId="0" applyNumberFormat="1" applyFont="1" applyFill="1" applyBorder="1" applyAlignment="1">
      <alignment horizontal="justify" vertical="center" wrapText="1"/>
    </xf>
    <xf numFmtId="0" fontId="11" fillId="0" borderId="58" xfId="0" applyFont="1" applyFill="1" applyBorder="1" applyAlignment="1">
      <alignment vertical="center" wrapText="1"/>
    </xf>
    <xf numFmtId="0" fontId="11" fillId="0" borderId="40" xfId="0" applyFont="1" applyFill="1" applyBorder="1" applyAlignment="1">
      <alignment vertical="center" wrapText="1"/>
    </xf>
    <xf numFmtId="164" fontId="24" fillId="0" borderId="10" xfId="88" applyNumberFormat="1" applyFont="1" applyFill="1" applyBorder="1" applyAlignment="1" applyProtection="1">
      <alignment horizontal="justify" vertical="center" wrapText="1"/>
      <protection locked="0"/>
    </xf>
    <xf numFmtId="3" fontId="11" fillId="0" borderId="14" xfId="64" applyNumberFormat="1" applyFont="1" applyFill="1" applyBorder="1" applyAlignment="1">
      <alignment horizontal="right" vertical="center"/>
      <protection/>
    </xf>
    <xf numFmtId="3" fontId="11" fillId="0" borderId="52" xfId="64" applyNumberFormat="1" applyFont="1" applyFill="1" applyBorder="1" applyAlignment="1">
      <alignment horizontal="right" vertical="center"/>
      <protection/>
    </xf>
    <xf numFmtId="164" fontId="11" fillId="0" borderId="26" xfId="68" applyNumberFormat="1" applyFont="1" applyFill="1" applyBorder="1" applyAlignment="1">
      <alignment horizontal="justify" vertical="center" wrapText="1"/>
      <protection/>
    </xf>
    <xf numFmtId="0" fontId="11" fillId="0" borderId="10" xfId="85" applyFont="1" applyFill="1" applyBorder="1" applyAlignment="1">
      <alignment horizontal="justify" vertical="center" wrapText="1"/>
      <protection/>
    </xf>
    <xf numFmtId="164" fontId="24" fillId="0" borderId="26" xfId="88" applyNumberFormat="1" applyFont="1" applyFill="1" applyBorder="1" applyAlignment="1" applyProtection="1">
      <alignment horizontal="justify" vertical="center" wrapText="1"/>
      <protection locked="0"/>
    </xf>
    <xf numFmtId="164" fontId="24" fillId="0" borderId="23" xfId="88" applyNumberFormat="1" applyFont="1" applyFill="1" applyBorder="1" applyAlignment="1" applyProtection="1">
      <alignment horizontal="justify" vertical="center" wrapText="1"/>
      <protection locked="0"/>
    </xf>
    <xf numFmtId="164" fontId="11" fillId="0" borderId="120" xfId="80" applyNumberFormat="1" applyFont="1" applyFill="1" applyBorder="1" applyAlignment="1">
      <alignment horizontal="justify" vertical="center" wrapText="1"/>
      <protection/>
    </xf>
    <xf numFmtId="164" fontId="11" fillId="0" borderId="65" xfId="80" applyNumberFormat="1" applyFont="1" applyFill="1" applyBorder="1" applyAlignment="1">
      <alignment horizontal="justify" vertical="center" wrapText="1"/>
      <protection/>
    </xf>
    <xf numFmtId="164" fontId="11" fillId="0" borderId="58" xfId="80" applyNumberFormat="1" applyFont="1" applyFill="1" applyBorder="1" applyAlignment="1">
      <alignment horizontal="justify" vertical="center" wrapText="1"/>
      <protection/>
    </xf>
    <xf numFmtId="164" fontId="11" fillId="0" borderId="40" xfId="80" applyNumberFormat="1" applyFont="1" applyFill="1" applyBorder="1" applyAlignment="1">
      <alignment horizontal="justify" vertical="center" wrapText="1"/>
      <protection/>
    </xf>
    <xf numFmtId="164" fontId="11" fillId="0" borderId="122" xfId="80" applyNumberFormat="1" applyFont="1" applyFill="1" applyBorder="1" applyAlignment="1">
      <alignment horizontal="justify" vertical="center" wrapText="1"/>
      <protection/>
    </xf>
    <xf numFmtId="164" fontId="11" fillId="0" borderId="124" xfId="80" applyNumberFormat="1" applyFont="1" applyFill="1" applyBorder="1" applyAlignment="1">
      <alignment horizontal="justify" vertical="center" wrapText="1"/>
      <protection/>
    </xf>
    <xf numFmtId="164" fontId="11" fillId="0" borderId="119" xfId="80" applyNumberFormat="1" applyFont="1" applyFill="1" applyBorder="1" applyAlignment="1">
      <alignment horizontal="justify" vertical="center" wrapText="1"/>
      <protection/>
    </xf>
    <xf numFmtId="164" fontId="11" fillId="0" borderId="44" xfId="80" applyNumberFormat="1" applyFont="1" applyFill="1" applyBorder="1" applyAlignment="1">
      <alignment horizontal="justify" vertical="center" wrapText="1"/>
      <protection/>
    </xf>
    <xf numFmtId="164" fontId="11" fillId="0" borderId="123" xfId="80" applyNumberFormat="1" applyFont="1" applyFill="1" applyBorder="1" applyAlignment="1">
      <alignment horizontal="justify" vertical="center" wrapText="1"/>
      <protection/>
    </xf>
    <xf numFmtId="164" fontId="11" fillId="0" borderId="55" xfId="80" applyNumberFormat="1" applyFont="1" applyFill="1" applyBorder="1" applyAlignment="1">
      <alignment horizontal="justify" vertical="center" wrapText="1"/>
      <protection/>
    </xf>
    <xf numFmtId="49" fontId="9" fillId="0" borderId="28" xfId="68" applyNumberFormat="1" applyFont="1" applyFill="1" applyBorder="1" applyAlignment="1">
      <alignment horizontal="left" vertical="center"/>
      <protection/>
    </xf>
    <xf numFmtId="49" fontId="9" fillId="0" borderId="27" xfId="68" applyNumberFormat="1" applyFont="1" applyFill="1" applyBorder="1" applyAlignment="1">
      <alignment horizontal="left" vertical="center"/>
      <protection/>
    </xf>
    <xf numFmtId="49" fontId="9" fillId="0" borderId="41" xfId="68" applyNumberFormat="1" applyFont="1" applyFill="1" applyBorder="1" applyAlignment="1">
      <alignment horizontal="left" vertical="center"/>
      <protection/>
    </xf>
    <xf numFmtId="164" fontId="11" fillId="0" borderId="89" xfId="80" applyNumberFormat="1" applyFont="1" applyFill="1" applyBorder="1" applyAlignment="1">
      <alignment horizontal="justify" vertical="center" wrapText="1"/>
      <protection/>
    </xf>
    <xf numFmtId="164" fontId="11" fillId="0" borderId="43" xfId="80" applyNumberFormat="1" applyFont="1" applyFill="1" applyBorder="1" applyAlignment="1">
      <alignment horizontal="justify" vertical="center" wrapText="1"/>
      <protection/>
    </xf>
    <xf numFmtId="3" fontId="20" fillId="0" borderId="0" xfId="66" applyNumberFormat="1" applyFont="1" applyFill="1" applyAlignment="1">
      <alignment horizontal="center" vertical="center"/>
      <protection/>
    </xf>
    <xf numFmtId="164" fontId="24" fillId="0" borderId="29" xfId="66" applyNumberFormat="1" applyFont="1" applyFill="1" applyBorder="1" applyAlignment="1">
      <alignment horizontal="center" vertical="center" wrapText="1"/>
      <protection/>
    </xf>
    <xf numFmtId="164" fontId="24" fillId="0" borderId="39" xfId="66" applyNumberFormat="1" applyFont="1" applyFill="1" applyBorder="1" applyAlignment="1">
      <alignment horizontal="center" vertical="center" wrapText="1"/>
      <protection/>
    </xf>
    <xf numFmtId="164" fontId="24" fillId="0" borderId="30" xfId="66" applyNumberFormat="1" applyFont="1" applyFill="1" applyBorder="1" applyAlignment="1">
      <alignment horizontal="center" vertical="center" wrapText="1"/>
      <protection/>
    </xf>
    <xf numFmtId="164" fontId="24" fillId="0" borderId="40" xfId="66" applyNumberFormat="1" applyFont="1" applyFill="1" applyBorder="1" applyAlignment="1">
      <alignment horizontal="center" vertical="center" wrapText="1"/>
      <protection/>
    </xf>
    <xf numFmtId="164" fontId="24" fillId="0" borderId="10" xfId="66" applyNumberFormat="1" applyFont="1" applyFill="1" applyBorder="1" applyAlignment="1">
      <alignment horizontal="center" vertical="center" wrapText="1" shrinkToFit="1"/>
      <protection/>
    </xf>
    <xf numFmtId="3" fontId="24" fillId="0" borderId="0" xfId="66" applyNumberFormat="1" applyFont="1" applyFill="1" applyBorder="1" applyAlignment="1">
      <alignment horizontal="right" vertical="center"/>
      <protection/>
    </xf>
    <xf numFmtId="1" fontId="24" fillId="0" borderId="29" xfId="66" applyNumberFormat="1" applyFont="1" applyFill="1" applyBorder="1" applyAlignment="1">
      <alignment horizontal="center" vertical="center" wrapText="1"/>
      <protection/>
    </xf>
    <xf numFmtId="1" fontId="24" fillId="0" borderId="39" xfId="66" applyNumberFormat="1" applyFont="1" applyFill="1" applyBorder="1" applyAlignment="1">
      <alignment horizontal="center" vertical="center" wrapText="1"/>
      <protection/>
    </xf>
    <xf numFmtId="1" fontId="24" fillId="0" borderId="30" xfId="66" applyNumberFormat="1" applyFont="1" applyFill="1" applyBorder="1" applyAlignment="1">
      <alignment horizontal="center" vertical="center" wrapText="1"/>
      <protection/>
    </xf>
    <xf numFmtId="3" fontId="20" fillId="0" borderId="115" xfId="66" applyNumberFormat="1" applyFont="1" applyFill="1" applyBorder="1" applyAlignment="1">
      <alignment horizontal="center" vertical="center" wrapText="1"/>
      <protection/>
    </xf>
    <xf numFmtId="3" fontId="20" fillId="0" borderId="33" xfId="66" applyNumberFormat="1" applyFont="1" applyFill="1" applyBorder="1" applyAlignment="1">
      <alignment horizontal="center" vertical="center" wrapText="1"/>
      <protection/>
    </xf>
    <xf numFmtId="3" fontId="20" fillId="0" borderId="20" xfId="66" applyNumberFormat="1" applyFont="1" applyFill="1" applyBorder="1" applyAlignment="1">
      <alignment horizontal="center" vertical="center" wrapText="1"/>
      <protection/>
    </xf>
    <xf numFmtId="3" fontId="20" fillId="0" borderId="0" xfId="66" applyNumberFormat="1" applyFont="1" applyFill="1" applyBorder="1" applyAlignment="1">
      <alignment horizontal="center" vertical="center" wrapText="1"/>
      <protection/>
    </xf>
    <xf numFmtId="3" fontId="20" fillId="0" borderId="116" xfId="66" applyNumberFormat="1" applyFont="1" applyFill="1" applyBorder="1" applyAlignment="1">
      <alignment horizontal="center" vertical="center" wrapText="1"/>
      <protection/>
    </xf>
    <xf numFmtId="3" fontId="20" fillId="0" borderId="35" xfId="66" applyNumberFormat="1" applyFont="1" applyFill="1" applyBorder="1" applyAlignment="1">
      <alignment horizontal="center" vertical="center" wrapText="1"/>
      <protection/>
    </xf>
    <xf numFmtId="3" fontId="24" fillId="0" borderId="34" xfId="66" applyNumberFormat="1" applyFont="1" applyFill="1" applyBorder="1" applyAlignment="1">
      <alignment horizontal="center" vertical="center" wrapText="1"/>
      <protection/>
    </xf>
    <xf numFmtId="3" fontId="24" fillId="0" borderId="37" xfId="66" applyNumberFormat="1" applyFont="1" applyFill="1" applyBorder="1" applyAlignment="1">
      <alignment horizontal="center" vertical="center" wrapText="1"/>
      <protection/>
    </xf>
    <xf numFmtId="3" fontId="24" fillId="0" borderId="36" xfId="66" applyNumberFormat="1" applyFont="1" applyFill="1" applyBorder="1" applyAlignment="1">
      <alignment horizontal="center" vertical="center" wrapText="1"/>
      <protection/>
    </xf>
    <xf numFmtId="3" fontId="20" fillId="0" borderId="28" xfId="66" applyNumberFormat="1" applyFont="1" applyFill="1" applyBorder="1" applyAlignment="1">
      <alignment horizontal="center" vertical="center" wrapText="1"/>
      <protection/>
    </xf>
    <xf numFmtId="3" fontId="20" fillId="0" borderId="27" xfId="66" applyNumberFormat="1" applyFont="1" applyFill="1" applyBorder="1" applyAlignment="1">
      <alignment horizontal="center" vertical="center" wrapText="1"/>
      <protection/>
    </xf>
    <xf numFmtId="3" fontId="20" fillId="0" borderId="41" xfId="66" applyNumberFormat="1" applyFont="1" applyFill="1" applyBorder="1" applyAlignment="1">
      <alignment horizontal="center" vertical="center" wrapText="1"/>
      <protection/>
    </xf>
    <xf numFmtId="3" fontId="69" fillId="0" borderId="115" xfId="66" applyNumberFormat="1" applyFont="1" applyFill="1" applyBorder="1" applyAlignment="1" applyProtection="1">
      <alignment horizontal="left" vertical="center" wrapText="1"/>
      <protection locked="0"/>
    </xf>
    <xf numFmtId="3" fontId="69" fillId="0" borderId="33" xfId="66" applyNumberFormat="1" applyFont="1" applyFill="1" applyBorder="1" applyAlignment="1" applyProtection="1">
      <alignment horizontal="left" vertical="center" wrapText="1"/>
      <protection locked="0"/>
    </xf>
    <xf numFmtId="3" fontId="69" fillId="0" borderId="34" xfId="66" applyNumberFormat="1" applyFont="1" applyFill="1" applyBorder="1" applyAlignment="1" applyProtection="1">
      <alignment horizontal="left" vertical="center" wrapText="1"/>
      <protection locked="0"/>
    </xf>
    <xf numFmtId="164" fontId="20" fillId="0" borderId="65" xfId="66" applyNumberFormat="1" applyFont="1" applyFill="1" applyBorder="1" applyAlignment="1">
      <alignment horizontal="center" vertical="center"/>
      <protection/>
    </xf>
    <xf numFmtId="164" fontId="20" fillId="0" borderId="25" xfId="66" applyNumberFormat="1" applyFont="1" applyFill="1" applyBorder="1" applyAlignment="1">
      <alignment horizontal="center" vertical="center"/>
      <protection/>
    </xf>
    <xf numFmtId="164" fontId="20" fillId="0" borderId="10" xfId="66" applyNumberFormat="1" applyFont="1" applyFill="1" applyBorder="1" applyAlignment="1">
      <alignment horizontal="center" vertical="center" wrapText="1" shrinkToFit="1"/>
      <protection/>
    </xf>
    <xf numFmtId="164" fontId="24" fillId="0" borderId="43" xfId="66" applyNumberFormat="1" applyFont="1" applyFill="1" applyBorder="1" applyAlignment="1">
      <alignment horizontal="center" vertical="center" wrapText="1" shrinkToFit="1"/>
      <protection/>
    </xf>
    <xf numFmtId="164" fontId="24" fillId="0" borderId="55" xfId="66" applyNumberFormat="1" applyFont="1" applyFill="1" applyBorder="1" applyAlignment="1">
      <alignment horizontal="center" vertical="center" wrapText="1" shrinkToFit="1"/>
      <protection/>
    </xf>
    <xf numFmtId="164" fontId="24" fillId="0" borderId="11" xfId="66" applyNumberFormat="1" applyFont="1" applyFill="1" applyBorder="1" applyAlignment="1">
      <alignment horizontal="center" vertical="center" wrapText="1" shrinkToFit="1"/>
      <protection/>
    </xf>
    <xf numFmtId="164" fontId="24" fillId="0" borderId="30" xfId="66" applyNumberFormat="1" applyFont="1" applyFill="1" applyBorder="1" applyAlignment="1">
      <alignment horizontal="center" vertical="center" wrapText="1" shrinkToFit="1"/>
      <protection/>
    </xf>
    <xf numFmtId="164" fontId="20" fillId="0" borderId="121" xfId="66" applyNumberFormat="1" applyFont="1" applyFill="1" applyBorder="1" applyAlignment="1">
      <alignment horizontal="center" vertical="center" wrapText="1"/>
      <protection/>
    </xf>
    <xf numFmtId="164" fontId="20" fillId="0" borderId="54" xfId="66" applyNumberFormat="1" applyFont="1" applyFill="1" applyBorder="1" applyAlignment="1">
      <alignment horizontal="center" vertical="center" wrapText="1"/>
      <protection/>
    </xf>
    <xf numFmtId="164" fontId="19" fillId="0" borderId="0" xfId="62" applyNumberFormat="1" applyFont="1" applyFill="1" applyAlignment="1">
      <alignment horizontal="right" vertical="center"/>
      <protection/>
    </xf>
    <xf numFmtId="164" fontId="23" fillId="0" borderId="0" xfId="62" applyNumberFormat="1" applyFont="1" applyFill="1" applyAlignment="1">
      <alignment horizontal="center" vertical="center" wrapText="1"/>
      <protection/>
    </xf>
    <xf numFmtId="164" fontId="23" fillId="0" borderId="51" xfId="62" applyNumberFormat="1" applyFont="1" applyFill="1" applyBorder="1" applyAlignment="1">
      <alignment horizontal="center" vertical="center" wrapText="1"/>
      <protection/>
    </xf>
    <xf numFmtId="164" fontId="23" fillId="0" borderId="56" xfId="62" applyNumberFormat="1" applyFont="1" applyFill="1" applyBorder="1" applyAlignment="1">
      <alignment horizontal="center" vertical="center" wrapText="1"/>
      <protection/>
    </xf>
    <xf numFmtId="164" fontId="23" fillId="0" borderId="25" xfId="62" applyNumberFormat="1" applyFont="1" applyFill="1" applyBorder="1" applyAlignment="1">
      <alignment horizontal="center" vertical="center" wrapText="1"/>
      <protection/>
    </xf>
    <xf numFmtId="164" fontId="23" fillId="0" borderId="26" xfId="62" applyNumberFormat="1" applyFont="1" applyFill="1" applyBorder="1" applyAlignment="1">
      <alignment horizontal="center" vertical="center" wrapText="1"/>
      <protection/>
    </xf>
    <xf numFmtId="164" fontId="23" fillId="0" borderId="52" xfId="62" applyNumberFormat="1" applyFont="1" applyFill="1" applyBorder="1" applyAlignment="1">
      <alignment horizontal="center" vertical="center" wrapText="1"/>
      <protection/>
    </xf>
    <xf numFmtId="164" fontId="19" fillId="0" borderId="35" xfId="62" applyNumberFormat="1" applyFont="1" applyFill="1" applyBorder="1" applyAlignment="1">
      <alignment horizontal="right" vertical="center"/>
      <protection/>
    </xf>
    <xf numFmtId="164" fontId="11" fillId="0" borderId="0" xfId="62" applyNumberFormat="1" applyFont="1" applyAlignment="1">
      <alignment horizontal="right" vertical="center"/>
      <protection/>
    </xf>
    <xf numFmtId="164" fontId="9" fillId="0" borderId="0" xfId="62" applyNumberFormat="1" applyFont="1" applyAlignment="1">
      <alignment horizontal="center" vertical="center" wrapText="1"/>
      <protection/>
    </xf>
    <xf numFmtId="164" fontId="9" fillId="0" borderId="51" xfId="62" applyNumberFormat="1" applyFont="1" applyBorder="1" applyAlignment="1">
      <alignment horizontal="center" vertical="center"/>
      <protection/>
    </xf>
    <xf numFmtId="164" fontId="9" fillId="0" borderId="56" xfId="62" applyNumberFormat="1" applyFont="1" applyBorder="1" applyAlignment="1">
      <alignment horizontal="center" vertical="center"/>
      <protection/>
    </xf>
    <xf numFmtId="164" fontId="9" fillId="0" borderId="52" xfId="62" applyNumberFormat="1" applyFont="1" applyBorder="1" applyAlignment="1">
      <alignment horizontal="center" vertical="center"/>
      <protection/>
    </xf>
    <xf numFmtId="164" fontId="9" fillId="0" borderId="59" xfId="62" applyNumberFormat="1" applyFont="1" applyBorder="1" applyAlignment="1">
      <alignment horizontal="center" vertical="center"/>
      <protection/>
    </xf>
    <xf numFmtId="164" fontId="9" fillId="0" borderId="26" xfId="62" applyNumberFormat="1" applyFont="1" applyBorder="1" applyAlignment="1">
      <alignment horizontal="center" vertical="center" wrapText="1"/>
      <protection/>
    </xf>
    <xf numFmtId="164" fontId="9" fillId="0" borderId="0" xfId="62" applyNumberFormat="1" applyFont="1" applyAlignment="1">
      <alignment horizontal="center" vertical="center"/>
      <protection/>
    </xf>
    <xf numFmtId="164" fontId="9" fillId="0" borderId="47" xfId="62" applyNumberFormat="1" applyFont="1" applyBorder="1" applyAlignment="1">
      <alignment horizontal="center" vertical="center"/>
      <protection/>
    </xf>
    <xf numFmtId="164" fontId="9" fillId="0" borderId="46" xfId="62" applyNumberFormat="1" applyFont="1" applyBorder="1" applyAlignment="1">
      <alignment horizontal="center" vertical="center"/>
      <protection/>
    </xf>
    <xf numFmtId="164" fontId="9" fillId="0" borderId="34" xfId="62" applyNumberFormat="1" applyFont="1" applyBorder="1" applyAlignment="1">
      <alignment horizontal="center" vertical="center"/>
      <protection/>
    </xf>
    <xf numFmtId="164" fontId="9" fillId="0" borderId="36" xfId="62" applyNumberFormat="1" applyFont="1" applyBorder="1" applyAlignment="1">
      <alignment horizontal="center" vertical="center"/>
      <protection/>
    </xf>
    <xf numFmtId="164" fontId="36" fillId="0" borderId="0" xfId="62" applyNumberFormat="1" applyFont="1" applyFill="1" applyAlignment="1">
      <alignment horizontal="center" vertical="center" wrapText="1"/>
      <protection/>
    </xf>
    <xf numFmtId="164" fontId="38" fillId="0" borderId="0" xfId="62" applyNumberFormat="1" applyFont="1" applyAlignment="1">
      <alignment horizontal="right" vertical="center" wrapText="1"/>
      <protection/>
    </xf>
    <xf numFmtId="164" fontId="36" fillId="0" borderId="51" xfId="62" applyNumberFormat="1" applyFont="1" applyFill="1" applyBorder="1" applyAlignment="1">
      <alignment horizontal="center" vertical="center" wrapText="1"/>
      <protection/>
    </xf>
    <xf numFmtId="164" fontId="36" fillId="0" borderId="25" xfId="62" applyNumberFormat="1" applyFont="1" applyFill="1" applyBorder="1" applyAlignment="1">
      <alignment horizontal="center" vertical="center" wrapText="1"/>
      <protection/>
    </xf>
    <xf numFmtId="164" fontId="36" fillId="0" borderId="52" xfId="62" applyNumberFormat="1" applyFont="1" applyFill="1" applyBorder="1" applyAlignment="1">
      <alignment horizontal="center" vertical="center" wrapText="1"/>
      <protection/>
    </xf>
    <xf numFmtId="164" fontId="36" fillId="0" borderId="65" xfId="62" applyNumberFormat="1" applyFont="1" applyFill="1" applyBorder="1" applyAlignment="1">
      <alignment horizontal="center" vertical="center" wrapText="1"/>
      <protection/>
    </xf>
    <xf numFmtId="164" fontId="38" fillId="0" borderId="35" xfId="62" applyNumberFormat="1" applyFont="1" applyFill="1" applyBorder="1" applyAlignment="1">
      <alignment horizontal="right" vertical="center"/>
      <protection/>
    </xf>
    <xf numFmtId="164" fontId="38" fillId="0" borderId="0" xfId="62" applyNumberFormat="1" applyFont="1" applyFill="1" applyBorder="1" applyAlignment="1">
      <alignment horizontal="center" vertical="center" wrapText="1"/>
      <protection/>
    </xf>
    <xf numFmtId="164" fontId="38" fillId="0" borderId="0" xfId="62" applyNumberFormat="1" applyFont="1" applyFill="1" applyAlignment="1">
      <alignment horizontal="right" vertical="center" wrapText="1"/>
      <protection/>
    </xf>
    <xf numFmtId="164" fontId="24" fillId="0" borderId="0" xfId="62" applyNumberFormat="1" applyFont="1" applyAlignment="1">
      <alignment horizontal="right" vertical="center" wrapText="1"/>
      <protection/>
    </xf>
    <xf numFmtId="164" fontId="20" fillId="0" borderId="0" xfId="62" applyNumberFormat="1" applyFont="1" applyAlignment="1">
      <alignment horizontal="center" vertical="center" wrapText="1"/>
      <protection/>
    </xf>
    <xf numFmtId="164" fontId="24" fillId="0" borderId="0" xfId="62" applyNumberFormat="1" applyFont="1" applyBorder="1" applyAlignment="1">
      <alignment horizontal="right" vertical="center"/>
      <protection/>
    </xf>
    <xf numFmtId="164" fontId="20" fillId="0" borderId="52" xfId="62" applyNumberFormat="1" applyFont="1" applyBorder="1" applyAlignment="1">
      <alignment horizontal="center" vertical="center" wrapText="1"/>
      <protection/>
    </xf>
    <xf numFmtId="164" fontId="20" fillId="0" borderId="59" xfId="62" applyNumberFormat="1" applyFont="1" applyBorder="1" applyAlignment="1">
      <alignment horizontal="center" vertical="center" wrapText="1"/>
      <protection/>
    </xf>
    <xf numFmtId="164" fontId="20" fillId="0" borderId="17" xfId="62" applyNumberFormat="1" applyFont="1" applyBorder="1" applyAlignment="1">
      <alignment horizontal="center" vertical="center" wrapText="1"/>
      <protection/>
    </xf>
    <xf numFmtId="164" fontId="20" fillId="0" borderId="65" xfId="62" applyNumberFormat="1" applyFont="1" applyBorder="1" applyAlignment="1">
      <alignment horizontal="center" vertical="center"/>
      <protection/>
    </xf>
    <xf numFmtId="164" fontId="20" fillId="0" borderId="54" xfId="62" applyNumberFormat="1" applyFont="1" applyBorder="1" applyAlignment="1">
      <alignment horizontal="center" vertical="center"/>
      <protection/>
    </xf>
    <xf numFmtId="164" fontId="20" fillId="0" borderId="25" xfId="62" applyNumberFormat="1" applyFont="1" applyBorder="1" applyAlignment="1">
      <alignment horizontal="center" vertical="center" wrapText="1"/>
      <protection/>
    </xf>
    <xf numFmtId="164" fontId="20" fillId="0" borderId="26" xfId="62" applyNumberFormat="1" applyFont="1" applyBorder="1" applyAlignment="1">
      <alignment horizontal="center" vertical="center" wrapText="1"/>
      <protection/>
    </xf>
    <xf numFmtId="164" fontId="20" fillId="0" borderId="124" xfId="62" applyNumberFormat="1" applyFont="1" applyBorder="1" applyAlignment="1">
      <alignment horizontal="center" vertical="center"/>
      <protection/>
    </xf>
    <xf numFmtId="164" fontId="20" fillId="0" borderId="55" xfId="62" applyNumberFormat="1" applyFont="1" applyBorder="1" applyAlignment="1">
      <alignment horizontal="center" vertical="center"/>
      <protection/>
    </xf>
    <xf numFmtId="164" fontId="20" fillId="0" borderId="120" xfId="62" applyNumberFormat="1" applyFont="1" applyBorder="1" applyAlignment="1">
      <alignment horizontal="center" vertical="center"/>
      <protection/>
    </xf>
    <xf numFmtId="164" fontId="20" fillId="0" borderId="66" xfId="62" applyNumberFormat="1" applyFont="1" applyBorder="1" applyAlignment="1">
      <alignment horizontal="center" vertical="center"/>
      <protection/>
    </xf>
    <xf numFmtId="164" fontId="18" fillId="0" borderId="51" xfId="58" applyNumberFormat="1" applyFont="1" applyBorder="1" applyAlignment="1">
      <alignment horizontal="center" vertical="center"/>
      <protection/>
    </xf>
    <xf numFmtId="164" fontId="18" fillId="0" borderId="25" xfId="58" applyNumberFormat="1" applyFont="1" applyBorder="1" applyAlignment="1">
      <alignment horizontal="center" vertical="center"/>
      <protection/>
    </xf>
    <xf numFmtId="164" fontId="18" fillId="0" borderId="52" xfId="58" applyNumberFormat="1" applyFont="1" applyBorder="1" applyAlignment="1">
      <alignment horizontal="center" vertical="center"/>
      <protection/>
    </xf>
    <xf numFmtId="164" fontId="18" fillId="0" borderId="125" xfId="58" applyNumberFormat="1" applyFont="1" applyBorder="1" applyAlignment="1">
      <alignment horizontal="center" vertical="center"/>
      <protection/>
    </xf>
    <xf numFmtId="164" fontId="18" fillId="0" borderId="126" xfId="58" applyNumberFormat="1" applyFont="1" applyBorder="1" applyAlignment="1">
      <alignment horizontal="center" vertical="center"/>
      <protection/>
    </xf>
    <xf numFmtId="164" fontId="3" fillId="0" borderId="0" xfId="58" applyNumberFormat="1" applyFont="1" applyAlignment="1">
      <alignment horizontal="right" vertical="center"/>
      <protection/>
    </xf>
    <xf numFmtId="164" fontId="67" fillId="0" borderId="16" xfId="58" applyNumberFormat="1" applyFont="1" applyBorder="1" applyAlignment="1">
      <alignment horizontal="left" vertical="center"/>
      <protection/>
    </xf>
    <xf numFmtId="164" fontId="67" fillId="0" borderId="13" xfId="58" applyNumberFormat="1" applyFont="1" applyBorder="1" applyAlignment="1">
      <alignment horizontal="left" vertical="center"/>
      <protection/>
    </xf>
    <xf numFmtId="164" fontId="12" fillId="0" borderId="127" xfId="58" applyNumberFormat="1" applyFont="1" applyBorder="1" applyAlignment="1">
      <alignment horizontal="center" vertical="center"/>
      <protection/>
    </xf>
    <xf numFmtId="164" fontId="12" fillId="0" borderId="128" xfId="58" applyNumberFormat="1" applyFont="1" applyBorder="1" applyAlignment="1">
      <alignment horizontal="center" vertical="center"/>
      <protection/>
    </xf>
    <xf numFmtId="164" fontId="18" fillId="0" borderId="56" xfId="58" applyNumberFormat="1" applyFont="1" applyBorder="1" applyAlignment="1">
      <alignment horizontal="center" vertical="center"/>
      <protection/>
    </xf>
    <xf numFmtId="164" fontId="18" fillId="0" borderId="26" xfId="58" applyNumberFormat="1" applyFont="1" applyBorder="1" applyAlignment="1">
      <alignment horizontal="center" vertical="center"/>
      <protection/>
    </xf>
    <xf numFmtId="164" fontId="18" fillId="0" borderId="16" xfId="58" applyNumberFormat="1" applyFont="1" applyBorder="1" applyAlignment="1">
      <alignment horizontal="left" vertical="center"/>
      <protection/>
    </xf>
    <xf numFmtId="164" fontId="18" fillId="0" borderId="13" xfId="58" applyNumberFormat="1" applyFont="1" applyBorder="1" applyAlignment="1">
      <alignment horizontal="left" vertical="center"/>
      <protection/>
    </xf>
    <xf numFmtId="164" fontId="18" fillId="0" borderId="17" xfId="58" applyNumberFormat="1" applyFont="1" applyBorder="1" applyAlignment="1">
      <alignment horizontal="center" vertical="center"/>
      <protection/>
    </xf>
    <xf numFmtId="164" fontId="18" fillId="0" borderId="16" xfId="58" applyNumberFormat="1" applyFont="1" applyBorder="1" applyAlignment="1">
      <alignment horizontal="center" vertical="center"/>
      <protection/>
    </xf>
    <xf numFmtId="164" fontId="18" fillId="0" borderId="17" xfId="58" applyNumberFormat="1" applyFont="1" applyBorder="1" applyAlignment="1">
      <alignment horizontal="center" vertical="center" wrapText="1"/>
      <protection/>
    </xf>
    <xf numFmtId="164" fontId="18" fillId="0" borderId="16" xfId="58" applyNumberFormat="1" applyFont="1" applyBorder="1" applyAlignment="1">
      <alignment horizontal="center" vertical="center" wrapText="1"/>
      <protection/>
    </xf>
    <xf numFmtId="164" fontId="18" fillId="0" borderId="13" xfId="58" applyNumberFormat="1" applyFont="1" applyBorder="1" applyAlignment="1">
      <alignment horizontal="center" vertical="center" wrapText="1"/>
      <protection/>
    </xf>
    <xf numFmtId="164" fontId="31" fillId="0" borderId="0" xfId="58" applyNumberFormat="1" applyFont="1" applyAlignment="1">
      <alignment horizontal="center" vertical="center"/>
      <protection/>
    </xf>
    <xf numFmtId="164" fontId="23" fillId="0" borderId="0" xfId="62" applyNumberFormat="1" applyFont="1" applyFill="1" applyAlignment="1">
      <alignment horizontal="left" vertical="center" wrapText="1"/>
      <protection/>
    </xf>
    <xf numFmtId="164" fontId="19" fillId="0" borderId="0" xfId="62" applyNumberFormat="1" applyFont="1" applyFill="1" applyAlignment="1" applyProtection="1">
      <alignment horizontal="right" vertical="center" wrapText="1"/>
      <protection/>
    </xf>
    <xf numFmtId="164" fontId="19" fillId="0" borderId="35" xfId="62" applyNumberFormat="1" applyFont="1" applyFill="1" applyBorder="1" applyAlignment="1">
      <alignment horizontal="right" vertical="center" wrapText="1"/>
      <protection/>
    </xf>
    <xf numFmtId="164" fontId="19" fillId="0" borderId="0" xfId="62" applyNumberFormat="1" applyFont="1" applyFill="1" applyAlignment="1">
      <alignment horizontal="right" vertical="center" wrapText="1"/>
      <protection/>
    </xf>
    <xf numFmtId="164" fontId="11" fillId="0" borderId="35" xfId="62" applyNumberFormat="1" applyFont="1" applyFill="1" applyBorder="1" applyAlignment="1">
      <alignment horizontal="right" vertical="center" wrapText="1"/>
      <protection/>
    </xf>
    <xf numFmtId="164" fontId="11" fillId="0" borderId="0" xfId="62" applyNumberFormat="1" applyFont="1" applyAlignment="1">
      <alignment horizontal="right" vertical="center" wrapText="1"/>
      <protection/>
    </xf>
    <xf numFmtId="164" fontId="5" fillId="0" borderId="0" xfId="62" applyNumberFormat="1" applyFont="1" applyBorder="1" applyAlignment="1">
      <alignment horizontal="right" vertical="center" wrapText="1"/>
      <protection/>
    </xf>
    <xf numFmtId="0" fontId="11" fillId="0" borderId="0" xfId="62" applyFont="1" applyFill="1" applyAlignment="1">
      <alignment horizontal="justify" vertical="top" wrapText="1"/>
      <protection/>
    </xf>
    <xf numFmtId="0" fontId="9" fillId="0" borderId="0" xfId="62" applyFont="1" applyAlignment="1">
      <alignment horizontal="center" vertical="center" wrapText="1"/>
      <protection/>
    </xf>
    <xf numFmtId="0" fontId="9" fillId="0" borderId="28" xfId="62" applyFont="1" applyBorder="1" applyAlignment="1">
      <alignment horizontal="left" vertical="center"/>
      <protection/>
    </xf>
    <xf numFmtId="0" fontId="9" fillId="0" borderId="41" xfId="62" applyFont="1" applyBorder="1" applyAlignment="1">
      <alignment horizontal="left" vertical="center"/>
      <protection/>
    </xf>
    <xf numFmtId="0" fontId="11" fillId="0" borderId="0" xfId="62" applyFont="1" applyFill="1" applyAlignment="1">
      <alignment horizontal="justify" vertical="center" wrapText="1"/>
      <protection/>
    </xf>
    <xf numFmtId="3" fontId="3" fillId="0" borderId="0" xfId="62" applyNumberFormat="1" applyFont="1" applyAlignment="1">
      <alignment horizontal="right" vertical="center"/>
      <protection/>
    </xf>
    <xf numFmtId="3" fontId="18" fillId="0" borderId="0" xfId="62" applyNumberFormat="1" applyFont="1" applyBorder="1" applyAlignment="1">
      <alignment wrapText="1"/>
      <protection/>
    </xf>
    <xf numFmtId="0" fontId="8" fillId="0" borderId="0" xfId="62" applyBorder="1" applyAlignment="1">
      <alignment wrapText="1"/>
      <protection/>
    </xf>
    <xf numFmtId="3" fontId="18" fillId="0" borderId="121" xfId="62" applyNumberFormat="1" applyFont="1" applyBorder="1" applyAlignment="1">
      <alignment horizontal="center" vertical="center"/>
      <protection/>
    </xf>
    <xf numFmtId="3" fontId="18" fillId="0" borderId="83" xfId="62" applyNumberFormat="1" applyFont="1" applyBorder="1" applyAlignment="1">
      <alignment horizontal="center" vertical="center"/>
      <protection/>
    </xf>
    <xf numFmtId="3" fontId="18" fillId="0" borderId="129" xfId="62" applyNumberFormat="1" applyFont="1" applyBorder="1" applyAlignment="1">
      <alignment horizontal="center" vertical="center"/>
      <protection/>
    </xf>
    <xf numFmtId="3" fontId="18" fillId="0" borderId="51" xfId="62" applyNumberFormat="1" applyFont="1" applyBorder="1" applyAlignment="1">
      <alignment horizontal="center" vertical="center"/>
      <protection/>
    </xf>
    <xf numFmtId="3" fontId="18" fillId="0" borderId="25" xfId="62" applyNumberFormat="1" applyFont="1" applyBorder="1" applyAlignment="1">
      <alignment horizontal="center" vertical="center"/>
      <protection/>
    </xf>
    <xf numFmtId="3" fontId="18" fillId="0" borderId="56" xfId="62" applyNumberFormat="1" applyFont="1" applyBorder="1" applyAlignment="1">
      <alignment horizontal="center" vertical="center"/>
      <protection/>
    </xf>
    <xf numFmtId="3" fontId="18" fillId="0" borderId="26" xfId="62" applyNumberFormat="1" applyFont="1" applyBorder="1" applyAlignment="1">
      <alignment horizontal="center" vertical="center"/>
      <protection/>
    </xf>
    <xf numFmtId="3" fontId="18" fillId="0" borderId="65" xfId="62" applyNumberFormat="1" applyFont="1" applyBorder="1" applyAlignment="1">
      <alignment horizontal="center" vertical="center"/>
      <protection/>
    </xf>
    <xf numFmtId="3" fontId="18" fillId="0" borderId="54" xfId="62" applyNumberFormat="1" applyFont="1" applyBorder="1" applyAlignment="1">
      <alignment horizontal="center" vertical="center"/>
      <protection/>
    </xf>
    <xf numFmtId="3" fontId="3" fillId="0" borderId="35" xfId="62" applyNumberFormat="1" applyFont="1" applyBorder="1" applyAlignment="1">
      <alignment horizontal="right"/>
      <protection/>
    </xf>
    <xf numFmtId="3" fontId="18" fillId="0" borderId="0" xfId="62" applyNumberFormat="1" applyFont="1" applyAlignment="1">
      <alignment horizontal="center" vertical="center"/>
      <protection/>
    </xf>
    <xf numFmtId="3" fontId="9" fillId="0" borderId="16" xfId="60" applyNumberFormat="1" applyFont="1" applyFill="1" applyBorder="1" applyAlignment="1">
      <alignment horizontal="center" vertical="center"/>
      <protection/>
    </xf>
    <xf numFmtId="3" fontId="11" fillId="0" borderId="35" xfId="60" applyNumberFormat="1" applyFont="1" applyFill="1" applyBorder="1" applyAlignment="1">
      <alignment horizontal="right"/>
      <protection/>
    </xf>
    <xf numFmtId="3" fontId="9" fillId="0" borderId="17" xfId="60" applyNumberFormat="1" applyFont="1" applyFill="1" applyBorder="1" applyAlignment="1">
      <alignment horizontal="center" vertical="center"/>
      <protection/>
    </xf>
    <xf numFmtId="3" fontId="9" fillId="0" borderId="16" xfId="60" applyNumberFormat="1" applyFont="1" applyFill="1" applyBorder="1" applyAlignment="1">
      <alignment horizontal="center" vertical="center" wrapText="1" shrinkToFit="1"/>
      <protection/>
    </xf>
    <xf numFmtId="3" fontId="9" fillId="0" borderId="13" xfId="60" applyNumberFormat="1" applyFont="1" applyFill="1" applyBorder="1" applyAlignment="1">
      <alignment horizontal="center" vertical="center"/>
      <protection/>
    </xf>
    <xf numFmtId="3" fontId="4" fillId="0" borderId="0" xfId="60" applyNumberFormat="1" applyFont="1" applyFill="1" applyAlignment="1">
      <alignment horizontal="center" vertical="center"/>
      <protection/>
    </xf>
    <xf numFmtId="164" fontId="4" fillId="0" borderId="28" xfId="72" applyNumberFormat="1" applyFont="1" applyFill="1" applyBorder="1" applyAlignment="1">
      <alignment horizontal="left" vertical="center"/>
      <protection/>
    </xf>
    <xf numFmtId="164" fontId="4" fillId="0" borderId="27" xfId="72" applyNumberFormat="1" applyFont="1" applyFill="1" applyBorder="1" applyAlignment="1">
      <alignment horizontal="left" vertical="center"/>
      <protection/>
    </xf>
    <xf numFmtId="164" fontId="4" fillId="0" borderId="20" xfId="72" applyNumberFormat="1" applyFont="1" applyFill="1" applyBorder="1" applyAlignment="1">
      <alignment horizontal="left" vertical="center" indent="2"/>
      <protection/>
    </xf>
    <xf numFmtId="164" fontId="4" fillId="0" borderId="0" xfId="72" applyNumberFormat="1" applyFont="1" applyFill="1" applyBorder="1" applyAlignment="1">
      <alignment horizontal="left" vertical="center" indent="2"/>
      <protection/>
    </xf>
    <xf numFmtId="164" fontId="4" fillId="0" borderId="37" xfId="72" applyNumberFormat="1" applyFont="1" applyFill="1" applyBorder="1" applyAlignment="1">
      <alignment horizontal="left" vertical="center" indent="2"/>
      <protection/>
    </xf>
    <xf numFmtId="164" fontId="4" fillId="0" borderId="115" xfId="72" applyNumberFormat="1" applyFont="1" applyFill="1" applyBorder="1" applyAlignment="1">
      <alignment horizontal="center" vertical="center" wrapText="1"/>
      <protection/>
    </xf>
    <xf numFmtId="0" fontId="5" fillId="0" borderId="33"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35" xfId="0" applyFont="1" applyBorder="1" applyAlignment="1">
      <alignment horizontal="center" vertical="center" wrapText="1"/>
    </xf>
    <xf numFmtId="3" fontId="4" fillId="0" borderId="34" xfId="77" applyNumberFormat="1" applyFont="1" applyBorder="1" applyAlignment="1">
      <alignment horizontal="center" vertical="center"/>
      <protection/>
    </xf>
    <xf numFmtId="3" fontId="4" fillId="0" borderId="36" xfId="77" applyNumberFormat="1" applyFont="1" applyBorder="1" applyAlignment="1">
      <alignment horizontal="center" vertical="center"/>
      <protection/>
    </xf>
  </cellXfs>
  <cellStyles count="83">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Figyelmeztetés" xfId="43"/>
    <cellStyle name="Hyperlink" xfId="44"/>
    <cellStyle name="Hivatkozott cella" xfId="45"/>
    <cellStyle name="Jegyzet" xfId="46"/>
    <cellStyle name="Jelölőszín (1)" xfId="47"/>
    <cellStyle name="Jelölőszín (2)" xfId="48"/>
    <cellStyle name="Jelölőszín (3)" xfId="49"/>
    <cellStyle name="Jelölőszín (4)" xfId="50"/>
    <cellStyle name="Jelölőszín (5)" xfId="51"/>
    <cellStyle name="Jelölőszín (6)" xfId="52"/>
    <cellStyle name="Jó" xfId="53"/>
    <cellStyle name="Kimenet" xfId="54"/>
    <cellStyle name="Magyarázó szöveg" xfId="55"/>
    <cellStyle name="Followed Hyperlink" xfId="56"/>
    <cellStyle name="Normál 2" xfId="57"/>
    <cellStyle name="Normál 2_Koncepció mellékletei" xfId="58"/>
    <cellStyle name="Normál 3" xfId="59"/>
    <cellStyle name="Normál_2001 évi terv" xfId="60"/>
    <cellStyle name="Normál_2002 januári KGy.mellékletek" xfId="61"/>
    <cellStyle name="Normál_2003 évi kv javaslat" xfId="62"/>
    <cellStyle name="Normál_2007 évi költségvetési rendelet0131" xfId="63"/>
    <cellStyle name="Normál_2008. évi városüzemeltetés" xfId="64"/>
    <cellStyle name="Normál_adósságszolgálat 0117" xfId="65"/>
    <cellStyle name="Normál_Beruházás 2008 01 31 bizottságra" xfId="66"/>
    <cellStyle name="Normál_Főo - Városüzemeltetés 2007 év" xfId="67"/>
    <cellStyle name="Normál_Függelék I II III V és elemzések" xfId="68"/>
    <cellStyle name="Normál_Hatósági főo tervezés 2007" xfId="69"/>
    <cellStyle name="Normál_Igazgatási bér új hivatal 2003III" xfId="70"/>
    <cellStyle name="Normál_Intézm.műk.és szintrehozási szint" xfId="71"/>
    <cellStyle name="Normál_Intézményi jegyzőkönyvek 2006  január 2-6 (rendeletbe előkészítő)" xfId="72"/>
    <cellStyle name="Normál_Intézményi ködkürt variáció (XII 17)" xfId="73"/>
    <cellStyle name="Normál_INTÉZMÉNYI ÖSSZESÍTŐK 2008.(egyeztetés után lezárt) igények összesítve" xfId="74"/>
    <cellStyle name="Normál_Intézményi tervegyeztetés 2007 01 8 13 (KITÖLTÖTT)kj korr" xfId="75"/>
    <cellStyle name="Normál_Intézményi tervezési kézikönyv 2006(11 8)" xfId="76"/>
    <cellStyle name="Normál_Költségvetés végleges táblái 2006 02 04 új versio" xfId="77"/>
    <cellStyle name="Normál_Költségvetés végleges táblái 2006 02 08  KJ" xfId="78"/>
    <cellStyle name="Normál_Kötött áll.hzj. int.bontás 2002" xfId="79"/>
    <cellStyle name="Normál_Módosítás 12.14" xfId="80"/>
    <cellStyle name="Normál_NAVIGÁTOR 2006 évre 0125 ph pol egyeztetés (version 1)" xfId="81"/>
    <cellStyle name="Normál_Oktatás, nemzetközi 2007" xfId="82"/>
    <cellStyle name="Normál_Összesítő 2008.igénylés végleges" xfId="83"/>
    <cellStyle name="Normál_összesítő intézményeknek Niki munkaanyag" xfId="84"/>
    <cellStyle name="Normál_Programköltségvetés 2005 végleges" xfId="85"/>
    <cellStyle name="Normál_Programköltségvetés 2006 ÁGI" xfId="86"/>
    <cellStyle name="Normál_Segédtábla_2008_2_tanévre" xfId="87"/>
    <cellStyle name="Normál_Szociális kiadások 2007 év" xfId="88"/>
    <cellStyle name="Normál_Szociális kiadások 2007 év EÜ OSZTÁLY" xfId="89"/>
    <cellStyle name="Összesen" xfId="90"/>
    <cellStyle name="Currency" xfId="91"/>
    <cellStyle name="Currency [0]" xfId="92"/>
    <cellStyle name="Rossz" xfId="93"/>
    <cellStyle name="Semleges" xfId="94"/>
    <cellStyle name="Számítás" xfId="95"/>
    <cellStyle name="Percent" xfId="9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externalLink" Target="externalLinks/externalLink5.xml" /><Relationship Id="rId34" Type="http://schemas.openxmlformats.org/officeDocument/2006/relationships/externalLink" Target="externalLinks/externalLink6.xml" /><Relationship Id="rId35" Type="http://schemas.openxmlformats.org/officeDocument/2006/relationships/externalLink" Target="externalLinks/externalLink7.xml" /><Relationship Id="rId36" Type="http://schemas.openxmlformats.org/officeDocument/2006/relationships/externalLink" Target="externalLinks/externalLink8.xml" /><Relationship Id="rId37" Type="http://schemas.openxmlformats.org/officeDocument/2006/relationships/externalLink" Target="externalLinks/externalLink9.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kumentumok\Excel\Menyus\P&#233;nz&#252;gyielemz&#233;s\P&#252;modell\M_V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okumentumok\Excel\Menyus\P&#233;nz&#252;gyielemz&#233;s\P&#252;modell\M_V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kantora\Local%20Settings\Temporary%20Internet%20Files\Content.IE5\052ZCLYF\&#214;sszes&#237;t&#337;%202008.ig&#233;nyl&#233;s%20v&#233;gleg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kumentumok\Excel\Excel\Menyus\P&#233;nz&#252;gyielemz&#233;s\P&#252;modell\M_V01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enzugyVIP\K&#246;lts&#233;gvet&#233;s\2008\K&#214;lts&#233;gvet&#233;si%20koncepci&#243;%202008\adszolg%20seg&#233;dlet%201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Dokumentumok\Excel\Menyus\P&#233;nz&#252;gyielemz&#233;s\P&#252;modell\M_V0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dalocsaneta\Dokumentumok\Besz&#225;mol&#243;\2006\&#201;ves\Test&#252;leti%20anyag%20el&#337;k&#233;sz&#237;t&#337;\Besz&#225;mol&#243;%20hagyom&#225;nyo%20t&#225;bl&#225;i%2003%2030%20%20%20JAV&#205;TOTT%20%20&#193;GI.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farkasn\Dokumentumok\&#193;llami%20t&#225;mogat&#225;s%20ig&#233;nyl&#233;s-%20elsz&#225;mol&#225;s\2008\ig&#233;nyl&#233;s\M&#193;K-nak%20k&#252;ld&#246;tt%20anyagok\&#214;sszes&#237;t&#337;%202008.ig&#233;nyl&#233;s%20v&#233;gleg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farkasn\Dokumentumok\&#193;llami%20t&#225;mogat&#225;s%20ig&#233;nyl&#233;s-%20elsz&#225;mol&#225;s\2007\ig&#233;nyl&#233;s\&#214;sszes&#237;t&#337;%20int&#233;zm&#233;ynenk&#233;nt\&#246;sszes&#237;t&#337;%20int&#233;zm&#233;nyeknek%20%20andrea%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dölap"/>
      <sheetName val="Ábra_1"/>
      <sheetName val="Ábra_2"/>
      <sheetName val="Ábra_3"/>
      <sheetName val="Ábra_4"/>
      <sheetName val="Kockázat"/>
      <sheetName val="Háttéradatok"/>
      <sheetName val="Adatbevitel"/>
      <sheetName val="Elörejelzés"/>
      <sheetName val="Költségvetés"/>
      <sheetName val="Megoszlás"/>
      <sheetName val="PerCap"/>
      <sheetName val="Reálérték"/>
      <sheetName val="Szcenáriók"/>
      <sheetName val="Hitelfelvét"/>
      <sheetName val="Chart_data"/>
      <sheetName val="Info sheet"/>
      <sheetName val="Simple"/>
      <sheetName val="Double"/>
      <sheetName val="Option"/>
      <sheetName val="Year"/>
      <sheetName val="Forecast"/>
      <sheetName val="Estimate"/>
      <sheetName val="Scenarios"/>
      <sheetName val="Credit"/>
      <sheetName val="Charter"/>
      <sheetName val="Risk"/>
      <sheetName val="Risk-scen"/>
      <sheetName val="Risk-trend"/>
      <sheetName val="Risk-menu"/>
      <sheetName val="a_Core"/>
      <sheetName val="b_Menu_commands"/>
      <sheetName val="c_Simple_routines"/>
      <sheetName val="d_Double_routines"/>
      <sheetName val="e_Year_routines"/>
      <sheetName val="f_Option_routines"/>
      <sheetName val="g_Forecast_routines"/>
      <sheetName val="h_Estimate_routines"/>
      <sheetName val="i_Import_routines"/>
      <sheetName val="j_Credit_routines"/>
      <sheetName val="k_Scenario_routines"/>
      <sheetName val="l_Charter_routines"/>
      <sheetName val="m_Risk_routines"/>
      <sheetName val="n_Risk_menu"/>
      <sheetName val="Akadálymentesítési közmunkapr."/>
      <sheetName val="Út-híd szakfeladat"/>
      <sheetName val="Parkfenntartás"/>
      <sheetName val="Vízkárelhárítás"/>
      <sheetName val="Köztisztaság"/>
      <sheetName val="Temetőfenntartás"/>
      <sheetName val="Közvilágítás"/>
      <sheetName val="Állategészségügy"/>
      <sheetName val="Mezőgazdaság"/>
      <sheetName val="Közműnyilvántartás"/>
      <sheetName val="Lakásüzemeltetés"/>
      <sheetName val="Közösköltség"/>
      <sheetName val="Zöld Ház közös ktg."/>
      <sheetName val="Lakás karbantartás"/>
      <sheetName val="Lakásért. bony.díja"/>
      <sheetName val="Kezelési díj"/>
      <sheetName val="Lakás felújítás"/>
      <sheetName val="Lakás mobilitás"/>
      <sheetName val="Bérlőkijelölés"/>
      <sheetName val="Ped.szálló üzemeltetése"/>
      <sheetName val="Első lakáshoz jutók"/>
      <sheetName val="VMZK címzett"/>
      <sheetName val="Játszótéri program"/>
      <sheetName val="Region.hulladéklerakó"/>
      <sheetName val="Széchenyi park építés"/>
      <sheetName val="Színház műszaki ellátó rendszer"/>
      <sheetName val="Civil Ház"/>
      <sheetName val="Csallóköz ovi"/>
      <sheetName val="Széchenyi Gimn tornacsarnok"/>
      <sheetName val="Kodály Z ÁI"/>
      <sheetName val="Mátyás"/>
      <sheetName val="Gépipari címzett"/>
      <sheetName val="TVM 91 lakás"/>
      <sheetName val="Kerékpárút"/>
      <sheetName val="2004. évi útépítések"/>
      <sheetName val="TVM villany"/>
      <sheetName val="Repülős emlékmű"/>
      <sheetName val="Gorkij úti csapadékvíz"/>
      <sheetName val="CORA lépcső"/>
      <sheetName val="Közvilágítás bővítése"/>
      <sheetName val="közbeszerzés"/>
      <sheetName val="Védelmi tervek"/>
      <sheetName val="Csapadékvíz elvez beruh konc"/>
      <sheetName val="Ip.tech.lakóép.korsz."/>
      <sheetName val="TVM lakótelepi lakások"/>
      <sheetName val="Bozsik"/>
      <sheetName val="Logisztikai központ"/>
      <sheetName val="Kossuth tér"/>
      <sheetName val="Inkubátorház"/>
      <sheetName val="1"/>
      <sheetName val="2"/>
      <sheetName val="3"/>
      <sheetName val="4"/>
      <sheetName val="5"/>
      <sheetName val="6"/>
      <sheetName val="vis major felúj"/>
      <sheetName val="vis major kiemelt int."/>
      <sheetName val="vis major 10"/>
      <sheetName val="Városszépítési Alap"/>
      <sheetName val="Környezetvédelmi Alap"/>
      <sheetName val="ÉKHVTA"/>
    </sheetNames>
    <sheetDataSet>
      <sheetData sheetId="6">
        <row r="22">
          <cell r="C22">
            <v>1990</v>
          </cell>
          <cell r="D22">
            <v>1991</v>
          </cell>
          <cell r="E22">
            <v>1992</v>
          </cell>
          <cell r="F22">
            <v>1993</v>
          </cell>
          <cell r="G22">
            <v>1994</v>
          </cell>
          <cell r="H22">
            <v>1995</v>
          </cell>
          <cell r="I22">
            <v>1996</v>
          </cell>
          <cell r="J22">
            <v>1997</v>
          </cell>
          <cell r="K22">
            <v>1998</v>
          </cell>
          <cell r="L22">
            <v>1999</v>
          </cell>
          <cell r="M22">
            <v>2000</v>
          </cell>
          <cell r="N22">
            <v>2001</v>
          </cell>
          <cell r="O22">
            <v>2002</v>
          </cell>
          <cell r="P22">
            <v>2003</v>
          </cell>
          <cell r="Q22">
            <v>2004</v>
          </cell>
          <cell r="R22">
            <v>2005</v>
          </cell>
          <cell r="S22">
            <v>2006</v>
          </cell>
          <cell r="T22">
            <v>2007</v>
          </cell>
          <cell r="U22">
            <v>2008</v>
          </cell>
          <cell r="V22">
            <v>2009</v>
          </cell>
          <cell r="W22">
            <v>2010</v>
          </cell>
          <cell r="X22">
            <v>2011</v>
          </cell>
          <cell r="Y22">
            <v>2012</v>
          </cell>
          <cell r="Z22">
            <v>2013</v>
          </cell>
          <cell r="AA22">
            <v>2014</v>
          </cell>
          <cell r="AB22">
            <v>2015</v>
          </cell>
          <cell r="AC22">
            <v>2016</v>
          </cell>
          <cell r="AD22">
            <v>2017</v>
          </cell>
          <cell r="AE22">
            <v>2018</v>
          </cell>
          <cell r="AF22">
            <v>2019</v>
          </cell>
          <cell r="AG22">
            <v>2020</v>
          </cell>
        </row>
        <row r="23">
          <cell r="B23" t="str">
            <v>éves változás</v>
          </cell>
          <cell r="C23">
            <v>28.9</v>
          </cell>
          <cell r="D23">
            <v>35</v>
          </cell>
          <cell r="E23">
            <v>22.8</v>
          </cell>
          <cell r="F23">
            <v>22.5</v>
          </cell>
          <cell r="G23">
            <v>18.8</v>
          </cell>
          <cell r="H23">
            <v>28.8</v>
          </cell>
          <cell r="I23">
            <v>23.8</v>
          </cell>
          <cell r="J23">
            <v>18.3</v>
          </cell>
          <cell r="K23">
            <v>15</v>
          </cell>
          <cell r="L23">
            <v>14</v>
          </cell>
          <cell r="M23">
            <v>13</v>
          </cell>
          <cell r="N23">
            <v>12</v>
          </cell>
          <cell r="O23">
            <v>11.5</v>
          </cell>
          <cell r="P23">
            <v>11</v>
          </cell>
          <cell r="Q23">
            <v>10.5</v>
          </cell>
          <cell r="R23">
            <v>10</v>
          </cell>
          <cell r="S23">
            <v>9.5</v>
          </cell>
          <cell r="T23">
            <v>9</v>
          </cell>
          <cell r="U23">
            <v>8.5</v>
          </cell>
          <cell r="V23">
            <v>8</v>
          </cell>
          <cell r="W23">
            <v>7.5</v>
          </cell>
          <cell r="X23">
            <v>7</v>
          </cell>
          <cell r="Y23">
            <v>6.5</v>
          </cell>
          <cell r="Z23">
            <v>6</v>
          </cell>
          <cell r="AA23">
            <v>5.5</v>
          </cell>
          <cell r="AB23">
            <v>5</v>
          </cell>
          <cell r="AC23">
            <v>4.5</v>
          </cell>
          <cell r="AD23">
            <v>4</v>
          </cell>
          <cell r="AE23">
            <v>4</v>
          </cell>
          <cell r="AF23">
            <v>4</v>
          </cell>
          <cell r="AG23">
            <v>4</v>
          </cell>
        </row>
        <row r="24">
          <cell r="B24" t="str">
            <v>index</v>
          </cell>
          <cell r="C24">
            <v>1.289</v>
          </cell>
          <cell r="D24">
            <v>1.74015</v>
          </cell>
          <cell r="E24">
            <v>2.1369042</v>
          </cell>
          <cell r="F24">
            <v>2.6177076450000003</v>
          </cell>
          <cell r="G24">
            <v>3.10983668226</v>
          </cell>
          <cell r="H24">
            <v>4.00546964675088</v>
          </cell>
          <cell r="I24">
            <v>4.958771422677589</v>
          </cell>
          <cell r="J24">
            <v>5.866226593027588</v>
          </cell>
          <cell r="K24">
            <v>6.746160581981726</v>
          </cell>
          <cell r="L24">
            <v>7.690623063459168</v>
          </cell>
          <cell r="M24">
            <v>8.69040406170886</v>
          </cell>
          <cell r="N24">
            <v>9.733252549113923</v>
          </cell>
          <cell r="O24">
            <v>10.852576592262023</v>
          </cell>
          <cell r="P24">
            <v>12.046360017410848</v>
          </cell>
          <cell r="Q24">
            <v>13.311227819238987</v>
          </cell>
          <cell r="R24">
            <v>14.642350601162887</v>
          </cell>
          <cell r="S24">
            <v>16.03337390827336</v>
          </cell>
          <cell r="T24">
            <v>17.476377560017966</v>
          </cell>
          <cell r="U24">
            <v>18.96186965261949</v>
          </cell>
          <cell r="V24">
            <v>20.478819224829053</v>
          </cell>
          <cell r="W24">
            <v>22.014730666691232</v>
          </cell>
          <cell r="X24">
            <v>23.55576181335962</v>
          </cell>
          <cell r="Y24">
            <v>25.086886331227994</v>
          </cell>
          <cell r="Z24">
            <v>26.592099511101676</v>
          </cell>
          <cell r="AA24">
            <v>28.054664984212266</v>
          </cell>
          <cell r="AB24">
            <v>29.457398233422882</v>
          </cell>
          <cell r="AC24">
            <v>30.78298115392691</v>
          </cell>
          <cell r="AD24">
            <v>32.01430040008399</v>
          </cell>
          <cell r="AE24">
            <v>33.29487241608735</v>
          </cell>
          <cell r="AF24">
            <v>34.626667312730845</v>
          </cell>
          <cell r="AG24">
            <v>36.01173400524008</v>
          </cell>
        </row>
        <row r="25">
          <cell r="B25">
            <v>1998</v>
          </cell>
          <cell r="C25">
            <v>5.233638930940051</v>
          </cell>
          <cell r="D25">
            <v>3.8767695784741116</v>
          </cell>
          <cell r="E25">
            <v>3.1569784840994397</v>
          </cell>
          <cell r="F25">
            <v>2.5771252931423994</v>
          </cell>
          <cell r="G25">
            <v>2.1692973847999997</v>
          </cell>
          <cell r="H25">
            <v>1.6842370999999998</v>
          </cell>
          <cell r="I25">
            <v>1.3604499999999997</v>
          </cell>
          <cell r="J25">
            <v>1.15</v>
          </cell>
          <cell r="K25">
            <v>1</v>
          </cell>
          <cell r="L25">
            <v>0.8771929824561403</v>
          </cell>
          <cell r="M25">
            <v>0.7762769756249029</v>
          </cell>
          <cell r="N25">
            <v>0.6931044425222348</v>
          </cell>
          <cell r="O25">
            <v>0.621618334100659</v>
          </cell>
          <cell r="P25">
            <v>0.5600165172078008</v>
          </cell>
          <cell r="Q25">
            <v>0.5068022780161093</v>
          </cell>
          <cell r="R25">
            <v>0.4607293436510084</v>
          </cell>
          <cell r="S25">
            <v>0.42075739146210817</v>
          </cell>
          <cell r="T25">
            <v>0.386015955469824</v>
          </cell>
          <cell r="U25">
            <v>0.3557750741657364</v>
          </cell>
          <cell r="V25">
            <v>0.3294213649682744</v>
          </cell>
          <cell r="W25">
            <v>0.30643847904025523</v>
          </cell>
          <cell r="X25">
            <v>0.2863911019067806</v>
          </cell>
          <cell r="Y25">
            <v>0.2689118327763198</v>
          </cell>
          <cell r="Z25">
            <v>0.253690408279547</v>
          </cell>
          <cell r="AA25">
            <v>0.2404648419711346</v>
          </cell>
          <cell r="AB25">
            <v>0.22901413521060435</v>
          </cell>
          <cell r="AC25">
            <v>0.21915228249818597</v>
          </cell>
          <cell r="AD25">
            <v>0.21072334855594804</v>
          </cell>
          <cell r="AE25">
            <v>0.20261860438071927</v>
          </cell>
          <cell r="AF25">
            <v>0.19482558113530699</v>
          </cell>
          <cell r="AG25">
            <v>0.1873322895531798</v>
          </cell>
        </row>
        <row r="26">
          <cell r="C26">
            <v>96.5</v>
          </cell>
          <cell r="D26">
            <v>88.1</v>
          </cell>
          <cell r="E26">
            <v>96.9</v>
          </cell>
          <cell r="F26">
            <v>99.4</v>
          </cell>
          <cell r="G26">
            <v>102.9</v>
          </cell>
          <cell r="H26">
            <v>101.5</v>
          </cell>
          <cell r="I26">
            <v>101.3</v>
          </cell>
          <cell r="J26">
            <v>104.4</v>
          </cell>
          <cell r="K26">
            <v>105</v>
          </cell>
          <cell r="L26">
            <v>106</v>
          </cell>
          <cell r="M26">
            <v>107</v>
          </cell>
          <cell r="N26">
            <v>108</v>
          </cell>
          <cell r="O26">
            <v>108</v>
          </cell>
          <cell r="P26">
            <v>108</v>
          </cell>
          <cell r="Q26">
            <v>108</v>
          </cell>
          <cell r="R26">
            <v>108</v>
          </cell>
          <cell r="S26">
            <v>108</v>
          </cell>
          <cell r="T26">
            <v>108</v>
          </cell>
          <cell r="U26">
            <v>108</v>
          </cell>
          <cell r="V26">
            <v>108</v>
          </cell>
          <cell r="W26">
            <v>108</v>
          </cell>
          <cell r="X26">
            <v>108</v>
          </cell>
          <cell r="Y26">
            <v>108</v>
          </cell>
          <cell r="Z26">
            <v>108</v>
          </cell>
          <cell r="AA26">
            <v>108</v>
          </cell>
          <cell r="AB26">
            <v>108</v>
          </cell>
          <cell r="AC26">
            <v>108</v>
          </cell>
          <cell r="AD26">
            <v>108</v>
          </cell>
          <cell r="AE26">
            <v>108</v>
          </cell>
          <cell r="AF26">
            <v>108</v>
          </cell>
          <cell r="AG26">
            <v>108</v>
          </cell>
        </row>
        <row r="27">
          <cell r="B27" t="str">
            <v>index</v>
          </cell>
          <cell r="C27">
            <v>0.965</v>
          </cell>
          <cell r="D27">
            <v>0.8501649999999998</v>
          </cell>
          <cell r="E27">
            <v>0.823809885</v>
          </cell>
          <cell r="F27">
            <v>0.81886702569</v>
          </cell>
          <cell r="G27">
            <v>0.8426141694350101</v>
          </cell>
          <cell r="H27">
            <v>0.8552533819765352</v>
          </cell>
          <cell r="I27">
            <v>0.8663716759422301</v>
          </cell>
          <cell r="J27">
            <v>0.9044920296836882</v>
          </cell>
          <cell r="K27">
            <v>0.9497166311678727</v>
          </cell>
          <cell r="L27">
            <v>1.006699629037945</v>
          </cell>
          <cell r="M27">
            <v>1.0771686030706014</v>
          </cell>
          <cell r="N27">
            <v>1.1633420913162495</v>
          </cell>
          <cell r="O27">
            <v>1.2564094586215495</v>
          </cell>
          <cell r="P27">
            <v>1.3569222153112737</v>
          </cell>
          <cell r="Q27">
            <v>1.4654759925361756</v>
          </cell>
          <cell r="R27">
            <v>1.5827140719390698</v>
          </cell>
          <cell r="S27">
            <v>1.7093311976941954</v>
          </cell>
          <cell r="T27">
            <v>1.8460776935097312</v>
          </cell>
          <cell r="U27">
            <v>1.9937639089905097</v>
          </cell>
          <cell r="V27">
            <v>2.1532650217097506</v>
          </cell>
          <cell r="W27">
            <v>2.325526223446531</v>
          </cell>
          <cell r="X27">
            <v>2.5115683213222537</v>
          </cell>
          <cell r="Y27">
            <v>2.712493787028034</v>
          </cell>
          <cell r="Z27">
            <v>2.929493289990277</v>
          </cell>
          <cell r="AA27">
            <v>3.1638527531894995</v>
          </cell>
          <cell r="AB27">
            <v>3.4169609734446595</v>
          </cell>
          <cell r="AC27">
            <v>3.6903178513202324</v>
          </cell>
          <cell r="AD27">
            <v>3.985543279425851</v>
          </cell>
          <cell r="AE27">
            <v>4.304386741779919</v>
          </cell>
          <cell r="AF27">
            <v>4.648737681122313</v>
          </cell>
          <cell r="AG27">
            <v>5.020636695612098</v>
          </cell>
        </row>
        <row r="28">
          <cell r="B28">
            <v>1998</v>
          </cell>
          <cell r="C28">
            <v>0.9841623120910599</v>
          </cell>
          <cell r="D28">
            <v>1.1170968355176618</v>
          </cell>
          <cell r="E28">
            <v>1.1528347115765343</v>
          </cell>
          <cell r="F28">
            <v>1.1597934724110002</v>
          </cell>
          <cell r="G28">
            <v>1.127107359</v>
          </cell>
          <cell r="H28">
            <v>1.1104506</v>
          </cell>
          <cell r="I28">
            <v>1.0962</v>
          </cell>
          <cell r="J28">
            <v>1.05</v>
          </cell>
          <cell r="K28">
            <v>1</v>
          </cell>
          <cell r="L28">
            <v>0.9433962264150944</v>
          </cell>
          <cell r="M28">
            <v>0.881678716275789</v>
          </cell>
          <cell r="N28">
            <v>0.8163691817368416</v>
          </cell>
          <cell r="O28">
            <v>0.7558973904970756</v>
          </cell>
          <cell r="P28">
            <v>0.6999049912009958</v>
          </cell>
          <cell r="Q28">
            <v>0.648060177037959</v>
          </cell>
          <cell r="R28">
            <v>0.6000557194795917</v>
          </cell>
          <cell r="S28">
            <v>0.5556071476662886</v>
          </cell>
          <cell r="T28">
            <v>0.5144510626539709</v>
          </cell>
          <cell r="U28">
            <v>0.4763435765314545</v>
          </cell>
          <cell r="V28">
            <v>0.44105886715875414</v>
          </cell>
          <cell r="W28">
            <v>0.40838783996180933</v>
          </cell>
          <cell r="X28">
            <v>0.37813688885352714</v>
          </cell>
          <cell r="Y28">
            <v>0.350126748938451</v>
          </cell>
          <cell r="Z28">
            <v>0.3241914342022694</v>
          </cell>
          <cell r="AA28">
            <v>0.3001772538909902</v>
          </cell>
          <cell r="AB28">
            <v>0.2779419017509168</v>
          </cell>
          <cell r="AC28">
            <v>0.25735361273233043</v>
          </cell>
          <cell r="AD28">
            <v>0.2382903821595652</v>
          </cell>
          <cell r="AE28">
            <v>0.22063924274033814</v>
          </cell>
          <cell r="AF28">
            <v>0.20429559512994272</v>
          </cell>
          <cell r="AG28">
            <v>0.18916258808328026</v>
          </cell>
        </row>
        <row r="29">
          <cell r="C29">
            <v>1990</v>
          </cell>
          <cell r="D29">
            <v>1991</v>
          </cell>
          <cell r="E29">
            <v>1992</v>
          </cell>
          <cell r="F29">
            <v>1993</v>
          </cell>
          <cell r="G29">
            <v>1994</v>
          </cell>
          <cell r="H29">
            <v>1995</v>
          </cell>
          <cell r="I29">
            <v>1996</v>
          </cell>
          <cell r="J29">
            <v>1997</v>
          </cell>
          <cell r="K29">
            <v>1998</v>
          </cell>
          <cell r="L29">
            <v>1999</v>
          </cell>
          <cell r="M29">
            <v>2000</v>
          </cell>
          <cell r="N29">
            <v>2001</v>
          </cell>
          <cell r="O29">
            <v>2002</v>
          </cell>
          <cell r="P29">
            <v>2003</v>
          </cell>
          <cell r="Q29">
            <v>2004</v>
          </cell>
          <cell r="R29">
            <v>2005</v>
          </cell>
          <cell r="S29">
            <v>2006</v>
          </cell>
          <cell r="T29">
            <v>2007</v>
          </cell>
          <cell r="U29">
            <v>2008</v>
          </cell>
          <cell r="V29">
            <v>2009</v>
          </cell>
          <cell r="W29">
            <v>2010</v>
          </cell>
          <cell r="X29">
            <v>2011</v>
          </cell>
          <cell r="Y29">
            <v>2012</v>
          </cell>
          <cell r="Z29">
            <v>2013</v>
          </cell>
          <cell r="AA29">
            <v>2014</v>
          </cell>
          <cell r="AB29">
            <v>2015</v>
          </cell>
          <cell r="AC29">
            <v>2016</v>
          </cell>
          <cell r="AD29">
            <v>2017</v>
          </cell>
          <cell r="AE29">
            <v>2018</v>
          </cell>
          <cell r="AF29">
            <v>2019</v>
          </cell>
          <cell r="AG29">
            <v>2020</v>
          </cell>
        </row>
        <row r="30">
          <cell r="C30">
            <v>0</v>
          </cell>
          <cell r="D30">
            <v>0</v>
          </cell>
          <cell r="E30">
            <v>0</v>
          </cell>
          <cell r="F30">
            <v>14.4</v>
          </cell>
          <cell r="G30">
            <v>49.2</v>
          </cell>
          <cell r="H30">
            <v>12.2</v>
          </cell>
          <cell r="I30">
            <v>12.9</v>
          </cell>
          <cell r="J30">
            <v>13.6</v>
          </cell>
          <cell r="K30">
            <v>25.16785714420712</v>
          </cell>
          <cell r="L30">
            <v>26.16785714420712</v>
          </cell>
          <cell r="M30">
            <v>27.16785714420712</v>
          </cell>
          <cell r="N30">
            <v>28.16785714420712</v>
          </cell>
          <cell r="O30">
            <v>28.66785714420712</v>
          </cell>
          <cell r="P30">
            <v>29.16785714420712</v>
          </cell>
          <cell r="Q30">
            <v>29.66785714420712</v>
          </cell>
          <cell r="R30">
            <v>30.16785714420712</v>
          </cell>
          <cell r="S30">
            <v>30.66785714420712</v>
          </cell>
          <cell r="T30">
            <v>31.16785714420712</v>
          </cell>
          <cell r="U30">
            <v>31.66785714420712</v>
          </cell>
          <cell r="V30">
            <v>32.16785714420712</v>
          </cell>
          <cell r="W30">
            <v>32.66785714420712</v>
          </cell>
          <cell r="X30">
            <v>33.16785714420712</v>
          </cell>
          <cell r="Y30">
            <v>33.66785714420712</v>
          </cell>
          <cell r="Z30">
            <v>34.16785714420712</v>
          </cell>
          <cell r="AA30">
            <v>34.66785714420712</v>
          </cell>
          <cell r="AB30">
            <v>35.16785714420712</v>
          </cell>
          <cell r="AC30">
            <v>35.66785714420712</v>
          </cell>
          <cell r="AD30">
            <v>36.16785714420712</v>
          </cell>
          <cell r="AE30">
            <v>36.66785714420712</v>
          </cell>
          <cell r="AF30">
            <v>37.16785714420712</v>
          </cell>
          <cell r="AG30">
            <v>37.66785714420712</v>
          </cell>
        </row>
        <row r="31">
          <cell r="C31">
            <v>0</v>
          </cell>
          <cell r="D31">
            <v>0</v>
          </cell>
          <cell r="E31">
            <v>0</v>
          </cell>
          <cell r="F31">
            <v>857.916</v>
          </cell>
          <cell r="G31">
            <v>857.134</v>
          </cell>
          <cell r="H31">
            <v>959.549</v>
          </cell>
          <cell r="I31">
            <v>1134.93</v>
          </cell>
          <cell r="J31">
            <v>1148.002</v>
          </cell>
          <cell r="K31">
            <v>2095.584894</v>
          </cell>
          <cell r="L31">
            <v>3113.1045824711</v>
          </cell>
          <cell r="M31">
            <v>4309.008531778032</v>
          </cell>
          <cell r="N31">
            <v>5706.285289978403</v>
          </cell>
          <cell r="O31">
            <v>7321.192176731974</v>
          </cell>
          <cell r="P31">
            <v>9169.061282996427</v>
          </cell>
          <cell r="Q31">
            <v>11263.898680691364</v>
          </cell>
          <cell r="R31">
            <v>13617.96569216057</v>
          </cell>
          <cell r="S31">
            <v>16241.351482463746</v>
          </cell>
          <cell r="T31">
            <v>19141.547572618572</v>
          </cell>
          <cell r="U31">
            <v>22323.03597816632</v>
          </cell>
          <cell r="V31">
            <v>21139.915071323507</v>
          </cell>
          <cell r="W31">
            <v>20019.49957254336</v>
          </cell>
          <cell r="X31">
            <v>18958.46609519856</v>
          </cell>
          <cell r="Y31">
            <v>17953.667392153035</v>
          </cell>
          <cell r="Z31">
            <v>17002.123020368923</v>
          </cell>
          <cell r="AA31">
            <v>16101.010500289369</v>
          </cell>
          <cell r="AB31">
            <v>15247.65694377403</v>
          </cell>
          <cell r="AC31">
            <v>14439.531125754007</v>
          </cell>
          <cell r="AD31">
            <v>13674.235976089043</v>
          </cell>
          <cell r="AE31">
            <v>12949.501469356323</v>
          </cell>
          <cell r="AF31">
            <v>12263.177891480436</v>
          </cell>
          <cell r="AG31">
            <v>11613.229463231972</v>
          </cell>
        </row>
        <row r="32">
          <cell r="C32">
            <v>16397</v>
          </cell>
          <cell r="D32">
            <v>16397</v>
          </cell>
          <cell r="E32">
            <v>16397</v>
          </cell>
          <cell r="F32">
            <v>16397</v>
          </cell>
          <cell r="G32">
            <v>16397</v>
          </cell>
          <cell r="H32">
            <v>16397</v>
          </cell>
          <cell r="I32">
            <v>16397</v>
          </cell>
          <cell r="J32">
            <v>16397</v>
          </cell>
          <cell r="K32">
            <v>16397</v>
          </cell>
          <cell r="L32">
            <v>16397</v>
          </cell>
          <cell r="M32">
            <v>16397</v>
          </cell>
          <cell r="N32">
            <v>16397</v>
          </cell>
          <cell r="O32">
            <v>16397</v>
          </cell>
          <cell r="P32">
            <v>16396.999999997766</v>
          </cell>
          <cell r="Q32">
            <v>16396.999999997926</v>
          </cell>
          <cell r="R32">
            <v>16396.999999996395</v>
          </cell>
          <cell r="S32">
            <v>16396.999999996602</v>
          </cell>
          <cell r="T32">
            <v>16396.999999996773</v>
          </cell>
          <cell r="U32">
            <v>16396.999999996915</v>
          </cell>
          <cell r="V32">
            <v>16396.999999994994</v>
          </cell>
          <cell r="W32">
            <v>16396.99999999703</v>
          </cell>
          <cell r="X32">
            <v>16396.99999999712</v>
          </cell>
          <cell r="Y32">
            <v>16396.99999999568</v>
          </cell>
          <cell r="Z32">
            <v>16396.999999994434</v>
          </cell>
          <cell r="AA32">
            <v>16396.999999994605</v>
          </cell>
          <cell r="AB32">
            <v>16396.999999994754</v>
          </cell>
          <cell r="AC32">
            <v>16396.99999999381</v>
          </cell>
          <cell r="AD32">
            <v>16396.999999993972</v>
          </cell>
          <cell r="AE32">
            <v>16396.99999999411</v>
          </cell>
          <cell r="AF32">
            <v>16396.999999991654</v>
          </cell>
          <cell r="AG32">
            <v>16396.99999999266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dölap"/>
      <sheetName val="Ábra_1"/>
      <sheetName val="Ábra_2"/>
      <sheetName val="Ábra_3"/>
      <sheetName val="Ábra_4"/>
      <sheetName val="Kockázat"/>
      <sheetName val="Háttéradatok"/>
      <sheetName val="Adatbevitel"/>
      <sheetName val="Elörejelzés"/>
      <sheetName val="Költségvetés"/>
      <sheetName val="Megoszlás"/>
      <sheetName val="PerCap"/>
      <sheetName val="Reálérték"/>
      <sheetName val="Szcenáriók"/>
      <sheetName val="Hitelfelvét"/>
      <sheetName val="Chart_data"/>
      <sheetName val="Info sheet"/>
      <sheetName val="Simple"/>
      <sheetName val="Double"/>
      <sheetName val="Option"/>
      <sheetName val="Year"/>
      <sheetName val="Forecast"/>
      <sheetName val="Estimate"/>
      <sheetName val="Scenarios"/>
      <sheetName val="Credit"/>
      <sheetName val="Charter"/>
      <sheetName val="Risk"/>
      <sheetName val="Risk-scen"/>
      <sheetName val="Risk-trend"/>
      <sheetName val="Risk-menu"/>
      <sheetName val="a_Core"/>
      <sheetName val="b_Menu_commands"/>
      <sheetName val="c_Simple_routines"/>
      <sheetName val="d_Double_routines"/>
      <sheetName val="e_Year_routines"/>
      <sheetName val="f_Option_routines"/>
      <sheetName val="g_Forecast_routines"/>
      <sheetName val="h_Estimate_routines"/>
      <sheetName val="i_Import_routines"/>
      <sheetName val="j_Credit_routines"/>
      <sheetName val="k_Scenario_routines"/>
      <sheetName val="l_Charter_routines"/>
      <sheetName val="m_Risk_routines"/>
      <sheetName val="n_Risk_menu"/>
      <sheetName val="Akadálymentesítési közmunkapr."/>
      <sheetName val="Út-híd szakfeladat"/>
      <sheetName val="Parkfenntartás"/>
      <sheetName val="Vízkárelhárítás"/>
      <sheetName val="Köztisztaság"/>
      <sheetName val="Temetőfenntartás"/>
      <sheetName val="Közvilágítás"/>
      <sheetName val="Állategészségügy"/>
      <sheetName val="Mezőgazdaság"/>
      <sheetName val="Közműnyilvántartás"/>
      <sheetName val="Lakásüzemeltetés"/>
      <sheetName val="Közösköltség"/>
      <sheetName val="Zöld Ház közös ktg."/>
      <sheetName val="Lakás karbantartás"/>
      <sheetName val="Lakásért. bony.díja"/>
      <sheetName val="Kezelési díj"/>
      <sheetName val="Lakás felújítás"/>
      <sheetName val="Lakás mobilitás"/>
      <sheetName val="Bérlőkijelölés"/>
      <sheetName val="Ped.szálló üzemeltetése"/>
      <sheetName val="Első lakáshoz jutók"/>
      <sheetName val="VMZK címzett"/>
      <sheetName val="Játszótéri program"/>
      <sheetName val="Region.hulladéklerakó"/>
      <sheetName val="Széchenyi park építés"/>
      <sheetName val="Színház műszaki ellátó rendszer"/>
      <sheetName val="Civil Ház"/>
      <sheetName val="Csallóköz ovi"/>
      <sheetName val="Széchenyi Gimn tornacsarnok"/>
      <sheetName val="Kodály Z ÁI"/>
      <sheetName val="Mátyás"/>
      <sheetName val="Gépipari címzett"/>
      <sheetName val="TVM 91 lakás"/>
      <sheetName val="Kerékpárút"/>
      <sheetName val="2004. évi útépítések"/>
      <sheetName val="TVM villany"/>
      <sheetName val="Repülős emlékmű"/>
      <sheetName val="Gorkij úti csapadékvíz"/>
      <sheetName val="CORA lépcső"/>
      <sheetName val="Közvilágítás bővítése"/>
      <sheetName val="közbeszerzés"/>
      <sheetName val="Védelmi tervek"/>
      <sheetName val="Csapadékvíz elvez beruh konc"/>
      <sheetName val="Ip.tech.lakóép.korsz."/>
      <sheetName val="TVM lakótelepi lakások"/>
      <sheetName val="Bozsik"/>
      <sheetName val="Logisztikai központ"/>
      <sheetName val="Kossuth tér"/>
      <sheetName val="Inkubátorház"/>
      <sheetName val="1"/>
      <sheetName val="2"/>
      <sheetName val="3"/>
      <sheetName val="4"/>
      <sheetName val="5"/>
      <sheetName val="6"/>
      <sheetName val="vis major felúj"/>
      <sheetName val="vis major kiemelt int."/>
      <sheetName val="vis major 10"/>
      <sheetName val="Városszépítési Alap"/>
      <sheetName val="Környezetvédelmi Alap"/>
      <sheetName val="ÉKHVTA"/>
    </sheetNames>
    <sheetDataSet>
      <sheetData sheetId="6">
        <row r="22">
          <cell r="C22">
            <v>1990</v>
          </cell>
          <cell r="D22">
            <v>1991</v>
          </cell>
          <cell r="E22">
            <v>1992</v>
          </cell>
          <cell r="F22">
            <v>1993</v>
          </cell>
          <cell r="G22">
            <v>1994</v>
          </cell>
          <cell r="H22">
            <v>1995</v>
          </cell>
          <cell r="I22">
            <v>1996</v>
          </cell>
          <cell r="J22">
            <v>1997</v>
          </cell>
          <cell r="K22">
            <v>1998</v>
          </cell>
          <cell r="L22">
            <v>1999</v>
          </cell>
          <cell r="M22">
            <v>2000</v>
          </cell>
          <cell r="N22">
            <v>2001</v>
          </cell>
          <cell r="O22">
            <v>2002</v>
          </cell>
          <cell r="P22">
            <v>2003</v>
          </cell>
          <cell r="Q22">
            <v>2004</v>
          </cell>
          <cell r="R22">
            <v>2005</v>
          </cell>
          <cell r="S22">
            <v>2006</v>
          </cell>
          <cell r="T22">
            <v>2007</v>
          </cell>
          <cell r="U22">
            <v>2008</v>
          </cell>
          <cell r="V22">
            <v>2009</v>
          </cell>
          <cell r="W22">
            <v>2010</v>
          </cell>
          <cell r="X22">
            <v>2011</v>
          </cell>
          <cell r="Y22">
            <v>2012</v>
          </cell>
          <cell r="Z22">
            <v>2013</v>
          </cell>
          <cell r="AA22">
            <v>2014</v>
          </cell>
          <cell r="AB22">
            <v>2015</v>
          </cell>
          <cell r="AC22">
            <v>2016</v>
          </cell>
          <cell r="AD22">
            <v>2017</v>
          </cell>
          <cell r="AE22">
            <v>2018</v>
          </cell>
          <cell r="AF22">
            <v>2019</v>
          </cell>
          <cell r="AG22">
            <v>2020</v>
          </cell>
        </row>
        <row r="23">
          <cell r="B23" t="str">
            <v>éves változás</v>
          </cell>
          <cell r="C23">
            <v>28.9</v>
          </cell>
          <cell r="D23">
            <v>35</v>
          </cell>
          <cell r="E23">
            <v>22.8</v>
          </cell>
          <cell r="F23">
            <v>22.5</v>
          </cell>
          <cell r="G23">
            <v>18.8</v>
          </cell>
          <cell r="H23">
            <v>28.8</v>
          </cell>
          <cell r="I23">
            <v>23.8</v>
          </cell>
          <cell r="J23">
            <v>18.3</v>
          </cell>
          <cell r="K23">
            <v>15</v>
          </cell>
          <cell r="L23">
            <v>14</v>
          </cell>
          <cell r="M23">
            <v>13</v>
          </cell>
          <cell r="N23">
            <v>12</v>
          </cell>
          <cell r="O23">
            <v>11.5</v>
          </cell>
          <cell r="P23">
            <v>11</v>
          </cell>
          <cell r="Q23">
            <v>10.5</v>
          </cell>
          <cell r="R23">
            <v>10</v>
          </cell>
          <cell r="S23">
            <v>9.5</v>
          </cell>
          <cell r="T23">
            <v>9</v>
          </cell>
          <cell r="U23">
            <v>8.5</v>
          </cell>
          <cell r="V23">
            <v>8</v>
          </cell>
          <cell r="W23">
            <v>7.5</v>
          </cell>
          <cell r="X23">
            <v>7</v>
          </cell>
          <cell r="Y23">
            <v>6.5</v>
          </cell>
          <cell r="Z23">
            <v>6</v>
          </cell>
          <cell r="AA23">
            <v>5.5</v>
          </cell>
          <cell r="AB23">
            <v>5</v>
          </cell>
          <cell r="AC23">
            <v>4.5</v>
          </cell>
          <cell r="AD23">
            <v>4</v>
          </cell>
          <cell r="AE23">
            <v>4</v>
          </cell>
          <cell r="AF23">
            <v>4</v>
          </cell>
          <cell r="AG23">
            <v>4</v>
          </cell>
        </row>
        <row r="24">
          <cell r="B24" t="str">
            <v>index</v>
          </cell>
          <cell r="C24">
            <v>1.289</v>
          </cell>
          <cell r="D24">
            <v>1.74015</v>
          </cell>
          <cell r="E24">
            <v>2.1369042</v>
          </cell>
          <cell r="F24">
            <v>2.6177076450000003</v>
          </cell>
          <cell r="G24">
            <v>3.10983668226</v>
          </cell>
          <cell r="H24">
            <v>4.00546964675088</v>
          </cell>
          <cell r="I24">
            <v>4.958771422677589</v>
          </cell>
          <cell r="J24">
            <v>5.866226593027588</v>
          </cell>
          <cell r="K24">
            <v>6.746160581981726</v>
          </cell>
          <cell r="L24">
            <v>7.690623063459168</v>
          </cell>
          <cell r="M24">
            <v>8.69040406170886</v>
          </cell>
          <cell r="N24">
            <v>9.733252549113923</v>
          </cell>
          <cell r="O24">
            <v>10.852576592262023</v>
          </cell>
          <cell r="P24">
            <v>12.046360017410848</v>
          </cell>
          <cell r="Q24">
            <v>13.311227819238987</v>
          </cell>
          <cell r="R24">
            <v>14.642350601162887</v>
          </cell>
          <cell r="S24">
            <v>16.03337390827336</v>
          </cell>
          <cell r="T24">
            <v>17.476377560017966</v>
          </cell>
          <cell r="U24">
            <v>18.96186965261949</v>
          </cell>
          <cell r="V24">
            <v>20.478819224829053</v>
          </cell>
          <cell r="W24">
            <v>22.014730666691232</v>
          </cell>
          <cell r="X24">
            <v>23.55576181335962</v>
          </cell>
          <cell r="Y24">
            <v>25.086886331227994</v>
          </cell>
          <cell r="Z24">
            <v>26.592099511101676</v>
          </cell>
          <cell r="AA24">
            <v>28.054664984212266</v>
          </cell>
          <cell r="AB24">
            <v>29.457398233422882</v>
          </cell>
          <cell r="AC24">
            <v>30.78298115392691</v>
          </cell>
          <cell r="AD24">
            <v>32.01430040008399</v>
          </cell>
          <cell r="AE24">
            <v>33.29487241608735</v>
          </cell>
          <cell r="AF24">
            <v>34.626667312730845</v>
          </cell>
          <cell r="AG24">
            <v>36.01173400524008</v>
          </cell>
        </row>
        <row r="25">
          <cell r="B25">
            <v>1998</v>
          </cell>
          <cell r="C25">
            <v>5.233638930940051</v>
          </cell>
          <cell r="D25">
            <v>3.8767695784741116</v>
          </cell>
          <cell r="E25">
            <v>3.1569784840994397</v>
          </cell>
          <cell r="F25">
            <v>2.5771252931423994</v>
          </cell>
          <cell r="G25">
            <v>2.1692973847999997</v>
          </cell>
          <cell r="H25">
            <v>1.6842370999999998</v>
          </cell>
          <cell r="I25">
            <v>1.3604499999999997</v>
          </cell>
          <cell r="J25">
            <v>1.15</v>
          </cell>
          <cell r="K25">
            <v>1</v>
          </cell>
          <cell r="L25">
            <v>0.8771929824561403</v>
          </cell>
          <cell r="M25">
            <v>0.7762769756249029</v>
          </cell>
          <cell r="N25">
            <v>0.6931044425222348</v>
          </cell>
          <cell r="O25">
            <v>0.621618334100659</v>
          </cell>
          <cell r="P25">
            <v>0.5600165172078008</v>
          </cell>
          <cell r="Q25">
            <v>0.5068022780161093</v>
          </cell>
          <cell r="R25">
            <v>0.4607293436510084</v>
          </cell>
          <cell r="S25">
            <v>0.42075739146210817</v>
          </cell>
          <cell r="T25">
            <v>0.386015955469824</v>
          </cell>
          <cell r="U25">
            <v>0.3557750741657364</v>
          </cell>
          <cell r="V25">
            <v>0.3294213649682744</v>
          </cell>
          <cell r="W25">
            <v>0.30643847904025523</v>
          </cell>
          <cell r="X25">
            <v>0.2863911019067806</v>
          </cell>
          <cell r="Y25">
            <v>0.2689118327763198</v>
          </cell>
          <cell r="Z25">
            <v>0.253690408279547</v>
          </cell>
          <cell r="AA25">
            <v>0.2404648419711346</v>
          </cell>
          <cell r="AB25">
            <v>0.22901413521060435</v>
          </cell>
          <cell r="AC25">
            <v>0.21915228249818597</v>
          </cell>
          <cell r="AD25">
            <v>0.21072334855594804</v>
          </cell>
          <cell r="AE25">
            <v>0.20261860438071927</v>
          </cell>
          <cell r="AF25">
            <v>0.19482558113530699</v>
          </cell>
          <cell r="AG25">
            <v>0.1873322895531798</v>
          </cell>
        </row>
        <row r="26">
          <cell r="C26">
            <v>96.5</v>
          </cell>
          <cell r="D26">
            <v>88.1</v>
          </cell>
          <cell r="E26">
            <v>96.9</v>
          </cell>
          <cell r="F26">
            <v>99.4</v>
          </cell>
          <cell r="G26">
            <v>102.9</v>
          </cell>
          <cell r="H26">
            <v>101.5</v>
          </cell>
          <cell r="I26">
            <v>101.3</v>
          </cell>
          <cell r="J26">
            <v>104.4</v>
          </cell>
          <cell r="K26">
            <v>105</v>
          </cell>
          <cell r="L26">
            <v>106</v>
          </cell>
          <cell r="M26">
            <v>107</v>
          </cell>
          <cell r="N26">
            <v>108</v>
          </cell>
          <cell r="O26">
            <v>108</v>
          </cell>
          <cell r="P26">
            <v>108</v>
          </cell>
          <cell r="Q26">
            <v>108</v>
          </cell>
          <cell r="R26">
            <v>108</v>
          </cell>
          <cell r="S26">
            <v>108</v>
          </cell>
          <cell r="T26">
            <v>108</v>
          </cell>
          <cell r="U26">
            <v>108</v>
          </cell>
          <cell r="V26">
            <v>108</v>
          </cell>
          <cell r="W26">
            <v>108</v>
          </cell>
          <cell r="X26">
            <v>108</v>
          </cell>
          <cell r="Y26">
            <v>108</v>
          </cell>
          <cell r="Z26">
            <v>108</v>
          </cell>
          <cell r="AA26">
            <v>108</v>
          </cell>
          <cell r="AB26">
            <v>108</v>
          </cell>
          <cell r="AC26">
            <v>108</v>
          </cell>
          <cell r="AD26">
            <v>108</v>
          </cell>
          <cell r="AE26">
            <v>108</v>
          </cell>
          <cell r="AF26">
            <v>108</v>
          </cell>
          <cell r="AG26">
            <v>108</v>
          </cell>
        </row>
        <row r="27">
          <cell r="B27" t="str">
            <v>index</v>
          </cell>
          <cell r="C27">
            <v>0.965</v>
          </cell>
          <cell r="D27">
            <v>0.8501649999999998</v>
          </cell>
          <cell r="E27">
            <v>0.823809885</v>
          </cell>
          <cell r="F27">
            <v>0.81886702569</v>
          </cell>
          <cell r="G27">
            <v>0.8426141694350101</v>
          </cell>
          <cell r="H27">
            <v>0.8552533819765352</v>
          </cell>
          <cell r="I27">
            <v>0.8663716759422301</v>
          </cell>
          <cell r="J27">
            <v>0.9044920296836882</v>
          </cell>
          <cell r="K27">
            <v>0.9497166311678727</v>
          </cell>
          <cell r="L27">
            <v>1.006699629037945</v>
          </cell>
          <cell r="M27">
            <v>1.0771686030706014</v>
          </cell>
          <cell r="N27">
            <v>1.1633420913162495</v>
          </cell>
          <cell r="O27">
            <v>1.2564094586215495</v>
          </cell>
          <cell r="P27">
            <v>1.3569222153112737</v>
          </cell>
          <cell r="Q27">
            <v>1.4654759925361756</v>
          </cell>
          <cell r="R27">
            <v>1.5827140719390698</v>
          </cell>
          <cell r="S27">
            <v>1.7093311976941954</v>
          </cell>
          <cell r="T27">
            <v>1.8460776935097312</v>
          </cell>
          <cell r="U27">
            <v>1.9937639089905097</v>
          </cell>
          <cell r="V27">
            <v>2.1532650217097506</v>
          </cell>
          <cell r="W27">
            <v>2.325526223446531</v>
          </cell>
          <cell r="X27">
            <v>2.5115683213222537</v>
          </cell>
          <cell r="Y27">
            <v>2.712493787028034</v>
          </cell>
          <cell r="Z27">
            <v>2.929493289990277</v>
          </cell>
          <cell r="AA27">
            <v>3.1638527531894995</v>
          </cell>
          <cell r="AB27">
            <v>3.4169609734446595</v>
          </cell>
          <cell r="AC27">
            <v>3.6903178513202324</v>
          </cell>
          <cell r="AD27">
            <v>3.985543279425851</v>
          </cell>
          <cell r="AE27">
            <v>4.304386741779919</v>
          </cell>
          <cell r="AF27">
            <v>4.648737681122313</v>
          </cell>
          <cell r="AG27">
            <v>5.020636695612098</v>
          </cell>
        </row>
        <row r="28">
          <cell r="B28">
            <v>1998</v>
          </cell>
          <cell r="C28">
            <v>0.9841623120910599</v>
          </cell>
          <cell r="D28">
            <v>1.1170968355176618</v>
          </cell>
          <cell r="E28">
            <v>1.1528347115765343</v>
          </cell>
          <cell r="F28">
            <v>1.1597934724110002</v>
          </cell>
          <cell r="G28">
            <v>1.127107359</v>
          </cell>
          <cell r="H28">
            <v>1.1104506</v>
          </cell>
          <cell r="I28">
            <v>1.0962</v>
          </cell>
          <cell r="J28">
            <v>1.05</v>
          </cell>
          <cell r="K28">
            <v>1</v>
          </cell>
          <cell r="L28">
            <v>0.9433962264150944</v>
          </cell>
          <cell r="M28">
            <v>0.881678716275789</v>
          </cell>
          <cell r="N28">
            <v>0.8163691817368416</v>
          </cell>
          <cell r="O28">
            <v>0.7558973904970756</v>
          </cell>
          <cell r="P28">
            <v>0.6999049912009958</v>
          </cell>
          <cell r="Q28">
            <v>0.648060177037959</v>
          </cell>
          <cell r="R28">
            <v>0.6000557194795917</v>
          </cell>
          <cell r="S28">
            <v>0.5556071476662886</v>
          </cell>
          <cell r="T28">
            <v>0.5144510626539709</v>
          </cell>
          <cell r="U28">
            <v>0.4763435765314545</v>
          </cell>
          <cell r="V28">
            <v>0.44105886715875414</v>
          </cell>
          <cell r="W28">
            <v>0.40838783996180933</v>
          </cell>
          <cell r="X28">
            <v>0.37813688885352714</v>
          </cell>
          <cell r="Y28">
            <v>0.350126748938451</v>
          </cell>
          <cell r="Z28">
            <v>0.3241914342022694</v>
          </cell>
          <cell r="AA28">
            <v>0.3001772538909902</v>
          </cell>
          <cell r="AB28">
            <v>0.2779419017509168</v>
          </cell>
          <cell r="AC28">
            <v>0.25735361273233043</v>
          </cell>
          <cell r="AD28">
            <v>0.2382903821595652</v>
          </cell>
          <cell r="AE28">
            <v>0.22063924274033814</v>
          </cell>
          <cell r="AF28">
            <v>0.20429559512994272</v>
          </cell>
          <cell r="AG28">
            <v>0.18916258808328026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özoktatás"/>
      <sheetName val="Tűzoltó"/>
      <sheetName val="Kötött rendelethez"/>
      <sheetName val="3.jogcím szerinti"/>
      <sheetName val="Állami rendelethez"/>
      <sheetName val="Összesítő kerekített"/>
      <sheetName val="Összesítő"/>
      <sheetName val="Adatlap összesítő"/>
      <sheetName val="Óvodák"/>
      <sheetName val="Kodály"/>
      <sheetName val="Bartók"/>
      <sheetName val="Fiumei"/>
      <sheetName val="Belvárosi"/>
      <sheetName val="Kassai"/>
      <sheetName val="Széchenyi krt."/>
      <sheetName val="Újváros"/>
      <sheetName val="II.Rákóczi"/>
      <sheetName val="Szanda"/>
      <sheetName val="Liget út"/>
      <sheetName val="Mátyás"/>
      <sheetName val="Kőrösi"/>
      <sheetName val="Szent-györgyi"/>
      <sheetName val="Verseghy"/>
      <sheetName val="Varga"/>
      <sheetName val="Tparti"/>
      <sheetName val="Széchenyi gimi"/>
      <sheetName val="Egészségügyi"/>
      <sheetName val="Közgé"/>
      <sheetName val="Gépipari"/>
      <sheetName val="Pálfy"/>
      <sheetName val="Építészeti"/>
      <sheetName val="Keró"/>
      <sheetName val="Ruhaipari"/>
      <sheetName val="Kollégium"/>
      <sheetName val="Ped.szaksz"/>
      <sheetName val="Adatlap"/>
      <sheetName val="BIG"/>
      <sheetName val="Segéd összesen"/>
      <sheetName val="Óvodák segéd"/>
      <sheetName val="Kodály segéd"/>
      <sheetName val="Bartók segéd"/>
      <sheetName val="Fiumei segéd"/>
      <sheetName val="Belváros segéd"/>
      <sheetName val="Kassai segéd"/>
      <sheetName val="Széchenyi krt segéd"/>
      <sheetName val="Újváros segéd"/>
      <sheetName val="II.Rákóczi segéd"/>
      <sheetName val="Szanda segéd"/>
      <sheetName val="Liget út segéd"/>
      <sheetName val="Mátyás segéd"/>
      <sheetName val="Kőrösi segéd"/>
      <sheetName val="Szent-györgyi segéd"/>
      <sheetName val="Verseghy segéd"/>
      <sheetName val="Varga segéd"/>
      <sheetName val="Tparti segéd"/>
      <sheetName val="Széchenyi gimi segéd"/>
      <sheetName val="Egészségügyi segéd"/>
      <sheetName val="Közgé segéd"/>
      <sheetName val="Gépipari segéd"/>
      <sheetName val="Pálfy segéd"/>
      <sheetName val="Építészeti segéd"/>
      <sheetName val="Keró segéd"/>
      <sheetName val="Ruhaipari segéd"/>
      <sheetName val="Kollégium segéd"/>
    </sheetNames>
    <sheetDataSet>
      <sheetData sheetId="5">
        <row r="51">
          <cell r="C51">
            <v>267.3333333333333</v>
          </cell>
        </row>
        <row r="52">
          <cell r="C52">
            <v>330.6666666666667</v>
          </cell>
        </row>
        <row r="53">
          <cell r="C53">
            <v>216</v>
          </cell>
        </row>
        <row r="54">
          <cell r="C54">
            <v>403</v>
          </cell>
        </row>
        <row r="55">
          <cell r="C55">
            <v>828</v>
          </cell>
        </row>
        <row r="57">
          <cell r="C57">
            <v>455.3333333333333</v>
          </cell>
        </row>
        <row r="58">
          <cell r="C58">
            <v>94</v>
          </cell>
        </row>
        <row r="59">
          <cell r="C59">
            <v>750</v>
          </cell>
        </row>
        <row r="60">
          <cell r="C60">
            <v>964.6666666666666</v>
          </cell>
        </row>
        <row r="61">
          <cell r="C61">
            <v>694</v>
          </cell>
        </row>
        <row r="62">
          <cell r="C62">
            <v>505</v>
          </cell>
        </row>
        <row r="63">
          <cell r="C63">
            <v>248</v>
          </cell>
        </row>
        <row r="64">
          <cell r="C64">
            <v>624</v>
          </cell>
        </row>
        <row r="65">
          <cell r="C65">
            <v>171</v>
          </cell>
        </row>
        <row r="66">
          <cell r="C66">
            <v>205</v>
          </cell>
        </row>
        <row r="69">
          <cell r="C69">
            <v>929.3333333333333</v>
          </cell>
        </row>
        <row r="71">
          <cell r="C71">
            <v>154</v>
          </cell>
        </row>
        <row r="72">
          <cell r="C72">
            <v>241.66666666666669</v>
          </cell>
        </row>
        <row r="73">
          <cell r="C73">
            <v>207.66666666666666</v>
          </cell>
        </row>
        <row r="74">
          <cell r="C74">
            <v>891.3333333333333</v>
          </cell>
        </row>
        <row r="76">
          <cell r="C76">
            <v>30</v>
          </cell>
        </row>
        <row r="77">
          <cell r="C77">
            <v>86.66666666666667</v>
          </cell>
        </row>
        <row r="78">
          <cell r="C78">
            <v>640.6666666666666</v>
          </cell>
        </row>
        <row r="79">
          <cell r="C79">
            <v>92.66666666666667</v>
          </cell>
        </row>
        <row r="80">
          <cell r="C80">
            <v>162</v>
          </cell>
        </row>
        <row r="81">
          <cell r="C81">
            <v>17.333333333333332</v>
          </cell>
        </row>
        <row r="82">
          <cell r="C82">
            <v>2.3333333333333335</v>
          </cell>
        </row>
        <row r="84">
          <cell r="C84">
            <v>33</v>
          </cell>
        </row>
        <row r="85">
          <cell r="C85">
            <v>283.66666666666663</v>
          </cell>
        </row>
        <row r="86">
          <cell r="C86">
            <v>69.66666666666667</v>
          </cell>
        </row>
        <row r="88">
          <cell r="C88">
            <v>94</v>
          </cell>
        </row>
        <row r="89">
          <cell r="C89">
            <v>47.333333333333336</v>
          </cell>
        </row>
        <row r="90">
          <cell r="C90">
            <v>47.333333333333336</v>
          </cell>
        </row>
        <row r="91">
          <cell r="C91">
            <v>134.33333333333334</v>
          </cell>
        </row>
        <row r="92">
          <cell r="C92">
            <v>166</v>
          </cell>
        </row>
        <row r="94">
          <cell r="C94">
            <v>2215.3333333333335</v>
          </cell>
        </row>
        <row r="95">
          <cell r="C95">
            <v>1079</v>
          </cell>
        </row>
        <row r="97">
          <cell r="C97">
            <v>3477</v>
          </cell>
        </row>
        <row r="98">
          <cell r="C98">
            <v>129</v>
          </cell>
        </row>
        <row r="99">
          <cell r="C99">
            <v>4488</v>
          </cell>
        </row>
        <row r="100">
          <cell r="C100">
            <v>13484</v>
          </cell>
        </row>
        <row r="101">
          <cell r="C101">
            <v>250</v>
          </cell>
        </row>
      </sheetData>
      <sheetData sheetId="6">
        <row r="109">
          <cell r="E109">
            <v>522564884</v>
          </cell>
        </row>
      </sheetData>
      <sheetData sheetId="37">
        <row r="9">
          <cell r="M9">
            <v>63410000</v>
          </cell>
        </row>
        <row r="10">
          <cell r="M10">
            <v>309570000</v>
          </cell>
        </row>
        <row r="11">
          <cell r="M11">
            <v>69700000</v>
          </cell>
        </row>
        <row r="12">
          <cell r="M12">
            <v>164220000</v>
          </cell>
        </row>
        <row r="13">
          <cell r="M13">
            <v>108630000</v>
          </cell>
        </row>
        <row r="14">
          <cell r="M14">
            <v>86360000</v>
          </cell>
        </row>
        <row r="15">
          <cell r="M15">
            <v>114410000</v>
          </cell>
        </row>
        <row r="16">
          <cell r="M16">
            <v>266220000</v>
          </cell>
        </row>
        <row r="17">
          <cell r="M17">
            <v>234939999.7142857</v>
          </cell>
        </row>
        <row r="18">
          <cell r="M18">
            <v>271489999.6923077</v>
          </cell>
        </row>
        <row r="19">
          <cell r="M19">
            <v>492320000</v>
          </cell>
        </row>
        <row r="20">
          <cell r="M20">
            <v>82280000</v>
          </cell>
        </row>
        <row r="21">
          <cell r="M21">
            <v>116790000</v>
          </cell>
        </row>
        <row r="30">
          <cell r="M30">
            <v>75055000</v>
          </cell>
        </row>
        <row r="31">
          <cell r="M31">
            <v>103530000</v>
          </cell>
        </row>
        <row r="32">
          <cell r="M32">
            <v>68085000.4285714</v>
          </cell>
        </row>
        <row r="33">
          <cell r="M33">
            <v>41310000</v>
          </cell>
        </row>
        <row r="34">
          <cell r="M34">
            <v>49724999.75</v>
          </cell>
        </row>
        <row r="35">
          <cell r="M35">
            <v>85425000.17391305</v>
          </cell>
        </row>
        <row r="36">
          <cell r="M36">
            <v>131325000</v>
          </cell>
        </row>
        <row r="37">
          <cell r="M37">
            <v>213010000</v>
          </cell>
        </row>
        <row r="38">
          <cell r="M38">
            <v>271150000.30769235</v>
          </cell>
        </row>
        <row r="39">
          <cell r="M39">
            <v>85594999.99999999</v>
          </cell>
        </row>
        <row r="40">
          <cell r="M40">
            <v>15725000.153846152</v>
          </cell>
        </row>
        <row r="41">
          <cell r="M41">
            <v>7310000</v>
          </cell>
        </row>
        <row r="42">
          <cell r="M42">
            <v>5610000</v>
          </cell>
        </row>
        <row r="43">
          <cell r="M43">
            <v>33150000</v>
          </cell>
        </row>
        <row r="44">
          <cell r="M44">
            <v>4080000</v>
          </cell>
        </row>
        <row r="45">
          <cell r="M45">
            <v>1360000</v>
          </cell>
        </row>
        <row r="46">
          <cell r="M46">
            <v>6799999.571428572</v>
          </cell>
        </row>
        <row r="47">
          <cell r="M47">
            <v>2295000</v>
          </cell>
        </row>
        <row r="48">
          <cell r="M48">
            <v>2975000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dölap"/>
      <sheetName val="Ábra_1"/>
      <sheetName val="Ábra_2"/>
      <sheetName val="Ábra_3"/>
      <sheetName val="Ábra_4"/>
      <sheetName val="Kockázat"/>
      <sheetName val="Háttéradatok"/>
      <sheetName val="Adatbevitel"/>
      <sheetName val="Elörejelzés"/>
      <sheetName val="Költségvetés"/>
      <sheetName val="Megoszlás"/>
      <sheetName val="PerCap"/>
      <sheetName val="Reálérték"/>
      <sheetName val="Szcenáriók"/>
      <sheetName val="Hitelfelvét"/>
      <sheetName val="Chart_data"/>
      <sheetName val="Info sheet"/>
      <sheetName val="Simple"/>
      <sheetName val="Double"/>
      <sheetName val="Option"/>
      <sheetName val="Year"/>
      <sheetName val="Forecast"/>
      <sheetName val="Estimate"/>
      <sheetName val="Scenarios"/>
      <sheetName val="Credit"/>
      <sheetName val="Charter"/>
      <sheetName val="Risk"/>
      <sheetName val="Risk-scen"/>
      <sheetName val="Risk-trend"/>
      <sheetName val="Risk-menu"/>
      <sheetName val="a_Core"/>
      <sheetName val="b_Menu_commands"/>
      <sheetName val="c_Simple_routines"/>
      <sheetName val="d_Double_routines"/>
      <sheetName val="e_Year_routines"/>
      <sheetName val="f_Option_routines"/>
      <sheetName val="g_Forecast_routines"/>
      <sheetName val="h_Estimate_routines"/>
      <sheetName val="i_Import_routines"/>
      <sheetName val="j_Credit_routines"/>
      <sheetName val="k_Scenario_routines"/>
      <sheetName val="l_Charter_routines"/>
      <sheetName val="m_Risk_routines"/>
      <sheetName val="n_Risk_menu"/>
      <sheetName val="Akadálymentesítési közmunkapr."/>
      <sheetName val="Út-híd szakfeladat"/>
      <sheetName val="Parkfenntartás"/>
      <sheetName val="Vízkárelhárítás"/>
      <sheetName val="Köztisztaság"/>
      <sheetName val="Temetőfenntartás"/>
      <sheetName val="Közvilágítás"/>
      <sheetName val="Állategészségügy"/>
      <sheetName val="Mezőgazdaság"/>
      <sheetName val="Közműnyilvántartás"/>
      <sheetName val="Lakásüzemeltetés"/>
      <sheetName val="Közösköltség"/>
      <sheetName val="Zöld Ház közös ktg."/>
      <sheetName val="Lakás karbantartás"/>
      <sheetName val="Lakásért. bony.díja"/>
      <sheetName val="Kezelési díj"/>
      <sheetName val="Lakás felújítás"/>
      <sheetName val="Lakás mobilitás"/>
      <sheetName val="Bérlőkijelölés"/>
      <sheetName val="Ped.szálló üzemeltetése"/>
      <sheetName val="Első lakáshoz jutók"/>
      <sheetName val="VMZK címzett"/>
      <sheetName val="Játszótéri program"/>
      <sheetName val="Region.hulladéklerakó"/>
      <sheetName val="Széchenyi park építés"/>
      <sheetName val="Színház műszaki ellátó rendszer"/>
      <sheetName val="Civil Ház"/>
      <sheetName val="Csallóköz ovi"/>
      <sheetName val="Széchenyi Gimn tornacsarnok"/>
      <sheetName val="Kodály Z ÁI"/>
      <sheetName val="Mátyás"/>
      <sheetName val="Gépipari címzett"/>
      <sheetName val="TVM 91 lakás"/>
      <sheetName val="Kerékpárút"/>
      <sheetName val="2004. évi útépítések"/>
      <sheetName val="TVM villany"/>
      <sheetName val="Repülős emlékmű"/>
      <sheetName val="Gorkij úti csapadékvíz"/>
      <sheetName val="CORA lépcső"/>
      <sheetName val="Közvilágítás bővítése"/>
      <sheetName val="közbeszerzés"/>
      <sheetName val="Védelmi tervek"/>
      <sheetName val="Csapadékvíz elvez beruh konc"/>
      <sheetName val="Ip.tech.lakóép.korsz."/>
      <sheetName val="TVM lakótelepi lakások"/>
      <sheetName val="Bozsik"/>
      <sheetName val="Logisztikai központ"/>
      <sheetName val="Kossuth tér"/>
      <sheetName val="Inkubátorház"/>
      <sheetName val="1"/>
      <sheetName val="2"/>
      <sheetName val="3"/>
      <sheetName val="4"/>
      <sheetName val="5"/>
      <sheetName val="6"/>
      <sheetName val="vis major felúj"/>
      <sheetName val="vis major kiemelt int."/>
      <sheetName val="vis major 10"/>
      <sheetName val="Városszépítési Alap"/>
      <sheetName val="Környezetvédelmi Alap"/>
      <sheetName val="ÉKHVTA"/>
    </sheetNames>
    <sheetDataSet>
      <sheetData sheetId="6">
        <row r="22">
          <cell r="C22">
            <v>1990</v>
          </cell>
          <cell r="D22">
            <v>1991</v>
          </cell>
          <cell r="E22">
            <v>1992</v>
          </cell>
          <cell r="F22">
            <v>1993</v>
          </cell>
          <cell r="G22">
            <v>1994</v>
          </cell>
          <cell r="H22">
            <v>1995</v>
          </cell>
          <cell r="I22">
            <v>1996</v>
          </cell>
          <cell r="J22">
            <v>1997</v>
          </cell>
          <cell r="K22">
            <v>1998</v>
          </cell>
          <cell r="L22">
            <v>1999</v>
          </cell>
          <cell r="M22">
            <v>2000</v>
          </cell>
          <cell r="N22">
            <v>2001</v>
          </cell>
          <cell r="O22">
            <v>2002</v>
          </cell>
          <cell r="P22">
            <v>2003</v>
          </cell>
          <cell r="Q22">
            <v>2004</v>
          </cell>
          <cell r="R22">
            <v>2005</v>
          </cell>
          <cell r="S22">
            <v>2006</v>
          </cell>
          <cell r="T22">
            <v>2007</v>
          </cell>
          <cell r="U22">
            <v>2008</v>
          </cell>
          <cell r="V22">
            <v>2009</v>
          </cell>
          <cell r="W22">
            <v>2010</v>
          </cell>
          <cell r="X22">
            <v>2011</v>
          </cell>
          <cell r="Y22">
            <v>2012</v>
          </cell>
          <cell r="Z22">
            <v>2013</v>
          </cell>
          <cell r="AA22">
            <v>2014</v>
          </cell>
          <cell r="AB22">
            <v>2015</v>
          </cell>
          <cell r="AC22">
            <v>2016</v>
          </cell>
          <cell r="AD22">
            <v>2017</v>
          </cell>
          <cell r="AE22">
            <v>2018</v>
          </cell>
          <cell r="AF22">
            <v>2019</v>
          </cell>
          <cell r="AG22">
            <v>2020</v>
          </cell>
        </row>
        <row r="23">
          <cell r="B23" t="str">
            <v>éves változás</v>
          </cell>
          <cell r="C23">
            <v>28.9</v>
          </cell>
          <cell r="D23">
            <v>35</v>
          </cell>
          <cell r="E23">
            <v>22.8</v>
          </cell>
          <cell r="F23">
            <v>22.5</v>
          </cell>
          <cell r="G23">
            <v>18.8</v>
          </cell>
          <cell r="H23">
            <v>28.8</v>
          </cell>
          <cell r="I23">
            <v>23.8</v>
          </cell>
          <cell r="J23">
            <v>18.3</v>
          </cell>
          <cell r="K23">
            <v>15</v>
          </cell>
          <cell r="L23">
            <v>14</v>
          </cell>
          <cell r="M23">
            <v>13</v>
          </cell>
          <cell r="N23">
            <v>12</v>
          </cell>
          <cell r="O23">
            <v>11.5</v>
          </cell>
          <cell r="P23">
            <v>11</v>
          </cell>
          <cell r="Q23">
            <v>10.5</v>
          </cell>
          <cell r="R23">
            <v>10</v>
          </cell>
          <cell r="S23">
            <v>9.5</v>
          </cell>
          <cell r="T23">
            <v>9</v>
          </cell>
          <cell r="U23">
            <v>8.5</v>
          </cell>
          <cell r="V23">
            <v>8</v>
          </cell>
          <cell r="W23">
            <v>7.5</v>
          </cell>
          <cell r="X23">
            <v>7</v>
          </cell>
          <cell r="Y23">
            <v>6.5</v>
          </cell>
          <cell r="Z23">
            <v>6</v>
          </cell>
          <cell r="AA23">
            <v>5.5</v>
          </cell>
          <cell r="AB23">
            <v>5</v>
          </cell>
          <cell r="AC23">
            <v>4.5</v>
          </cell>
          <cell r="AD23">
            <v>4</v>
          </cell>
          <cell r="AE23">
            <v>4</v>
          </cell>
          <cell r="AF23">
            <v>4</v>
          </cell>
          <cell r="AG23">
            <v>4</v>
          </cell>
        </row>
        <row r="24">
          <cell r="B24" t="str">
            <v>index</v>
          </cell>
          <cell r="C24">
            <v>1.289</v>
          </cell>
          <cell r="D24">
            <v>1.74015</v>
          </cell>
          <cell r="E24">
            <v>2.1369042</v>
          </cell>
          <cell r="F24">
            <v>2.6177076450000003</v>
          </cell>
          <cell r="G24">
            <v>3.10983668226</v>
          </cell>
          <cell r="H24">
            <v>4.00546964675088</v>
          </cell>
          <cell r="I24">
            <v>4.958771422677589</v>
          </cell>
          <cell r="J24">
            <v>5.866226593027588</v>
          </cell>
          <cell r="K24">
            <v>6.746160581981726</v>
          </cell>
          <cell r="L24">
            <v>7.690623063459168</v>
          </cell>
          <cell r="M24">
            <v>8.69040406170886</v>
          </cell>
          <cell r="N24">
            <v>9.733252549113923</v>
          </cell>
          <cell r="O24">
            <v>10.852576592262023</v>
          </cell>
          <cell r="P24">
            <v>12.046360017410848</v>
          </cell>
          <cell r="Q24">
            <v>13.311227819238987</v>
          </cell>
          <cell r="R24">
            <v>14.642350601162887</v>
          </cell>
          <cell r="S24">
            <v>16.03337390827336</v>
          </cell>
          <cell r="T24">
            <v>17.476377560017966</v>
          </cell>
          <cell r="U24">
            <v>18.96186965261949</v>
          </cell>
          <cell r="V24">
            <v>20.478819224829053</v>
          </cell>
          <cell r="W24">
            <v>22.014730666691232</v>
          </cell>
          <cell r="X24">
            <v>23.55576181335962</v>
          </cell>
          <cell r="Y24">
            <v>25.086886331227994</v>
          </cell>
          <cell r="Z24">
            <v>26.592099511101676</v>
          </cell>
          <cell r="AA24">
            <v>28.054664984212266</v>
          </cell>
          <cell r="AB24">
            <v>29.457398233422882</v>
          </cell>
          <cell r="AC24">
            <v>30.78298115392691</v>
          </cell>
          <cell r="AD24">
            <v>32.01430040008399</v>
          </cell>
          <cell r="AE24">
            <v>33.29487241608735</v>
          </cell>
          <cell r="AF24">
            <v>34.626667312730845</v>
          </cell>
          <cell r="AG24">
            <v>36.01173400524008</v>
          </cell>
        </row>
        <row r="25">
          <cell r="B25">
            <v>1998</v>
          </cell>
          <cell r="C25">
            <v>5.233638930940051</v>
          </cell>
          <cell r="D25">
            <v>3.8767695784741116</v>
          </cell>
          <cell r="E25">
            <v>3.1569784840994397</v>
          </cell>
          <cell r="F25">
            <v>2.5771252931423994</v>
          </cell>
          <cell r="G25">
            <v>2.1692973847999997</v>
          </cell>
          <cell r="H25">
            <v>1.6842370999999998</v>
          </cell>
          <cell r="I25">
            <v>1.3604499999999997</v>
          </cell>
          <cell r="J25">
            <v>1.15</v>
          </cell>
          <cell r="K25">
            <v>1</v>
          </cell>
          <cell r="L25">
            <v>0.8771929824561403</v>
          </cell>
          <cell r="M25">
            <v>0.7762769756249029</v>
          </cell>
          <cell r="N25">
            <v>0.6931044425222348</v>
          </cell>
          <cell r="O25">
            <v>0.621618334100659</v>
          </cell>
          <cell r="P25">
            <v>0.5600165172078008</v>
          </cell>
          <cell r="Q25">
            <v>0.5068022780161093</v>
          </cell>
          <cell r="R25">
            <v>0.4607293436510084</v>
          </cell>
          <cell r="S25">
            <v>0.42075739146210817</v>
          </cell>
          <cell r="T25">
            <v>0.386015955469824</v>
          </cell>
          <cell r="U25">
            <v>0.3557750741657364</v>
          </cell>
          <cell r="V25">
            <v>0.3294213649682744</v>
          </cell>
          <cell r="W25">
            <v>0.30643847904025523</v>
          </cell>
          <cell r="X25">
            <v>0.2863911019067806</v>
          </cell>
          <cell r="Y25">
            <v>0.2689118327763198</v>
          </cell>
          <cell r="Z25">
            <v>0.253690408279547</v>
          </cell>
          <cell r="AA25">
            <v>0.2404648419711346</v>
          </cell>
          <cell r="AB25">
            <v>0.22901413521060435</v>
          </cell>
          <cell r="AC25">
            <v>0.21915228249818597</v>
          </cell>
          <cell r="AD25">
            <v>0.21072334855594804</v>
          </cell>
          <cell r="AE25">
            <v>0.20261860438071927</v>
          </cell>
          <cell r="AF25">
            <v>0.19482558113530699</v>
          </cell>
          <cell r="AG25">
            <v>0.1873322895531798</v>
          </cell>
        </row>
        <row r="26">
          <cell r="C26">
            <v>96.5</v>
          </cell>
          <cell r="D26">
            <v>88.1</v>
          </cell>
          <cell r="E26">
            <v>96.9</v>
          </cell>
          <cell r="F26">
            <v>99.4</v>
          </cell>
          <cell r="G26">
            <v>102.9</v>
          </cell>
          <cell r="H26">
            <v>101.5</v>
          </cell>
          <cell r="I26">
            <v>101.3</v>
          </cell>
          <cell r="J26">
            <v>104.4</v>
          </cell>
          <cell r="K26">
            <v>105</v>
          </cell>
          <cell r="L26">
            <v>106</v>
          </cell>
          <cell r="M26">
            <v>107</v>
          </cell>
          <cell r="N26">
            <v>108</v>
          </cell>
          <cell r="O26">
            <v>108</v>
          </cell>
          <cell r="P26">
            <v>108</v>
          </cell>
          <cell r="Q26">
            <v>108</v>
          </cell>
          <cell r="R26">
            <v>108</v>
          </cell>
          <cell r="S26">
            <v>108</v>
          </cell>
          <cell r="T26">
            <v>108</v>
          </cell>
          <cell r="U26">
            <v>108</v>
          </cell>
          <cell r="V26">
            <v>108</v>
          </cell>
          <cell r="W26">
            <v>108</v>
          </cell>
          <cell r="X26">
            <v>108</v>
          </cell>
          <cell r="Y26">
            <v>108</v>
          </cell>
          <cell r="Z26">
            <v>108</v>
          </cell>
          <cell r="AA26">
            <v>108</v>
          </cell>
          <cell r="AB26">
            <v>108</v>
          </cell>
          <cell r="AC26">
            <v>108</v>
          </cell>
          <cell r="AD26">
            <v>108</v>
          </cell>
          <cell r="AE26">
            <v>108</v>
          </cell>
          <cell r="AF26">
            <v>108</v>
          </cell>
          <cell r="AG26">
            <v>108</v>
          </cell>
        </row>
        <row r="27">
          <cell r="B27" t="str">
            <v>index</v>
          </cell>
          <cell r="C27">
            <v>0.965</v>
          </cell>
          <cell r="D27">
            <v>0.8501649999999998</v>
          </cell>
          <cell r="E27">
            <v>0.823809885</v>
          </cell>
          <cell r="F27">
            <v>0.81886702569</v>
          </cell>
          <cell r="G27">
            <v>0.8426141694350101</v>
          </cell>
          <cell r="H27">
            <v>0.8552533819765352</v>
          </cell>
          <cell r="I27">
            <v>0.8663716759422301</v>
          </cell>
          <cell r="J27">
            <v>0.9044920296836882</v>
          </cell>
          <cell r="K27">
            <v>0.9497166311678727</v>
          </cell>
          <cell r="L27">
            <v>1.006699629037945</v>
          </cell>
          <cell r="M27">
            <v>1.0771686030706014</v>
          </cell>
          <cell r="N27">
            <v>1.1633420913162495</v>
          </cell>
          <cell r="O27">
            <v>1.2564094586215495</v>
          </cell>
          <cell r="P27">
            <v>1.3569222153112737</v>
          </cell>
          <cell r="Q27">
            <v>1.4654759925361756</v>
          </cell>
          <cell r="R27">
            <v>1.5827140719390698</v>
          </cell>
          <cell r="S27">
            <v>1.7093311976941954</v>
          </cell>
          <cell r="T27">
            <v>1.8460776935097312</v>
          </cell>
          <cell r="U27">
            <v>1.9937639089905097</v>
          </cell>
          <cell r="V27">
            <v>2.1532650217097506</v>
          </cell>
          <cell r="W27">
            <v>2.325526223446531</v>
          </cell>
          <cell r="X27">
            <v>2.5115683213222537</v>
          </cell>
          <cell r="Y27">
            <v>2.712493787028034</v>
          </cell>
          <cell r="Z27">
            <v>2.929493289990277</v>
          </cell>
          <cell r="AA27">
            <v>3.1638527531894995</v>
          </cell>
          <cell r="AB27">
            <v>3.4169609734446595</v>
          </cell>
          <cell r="AC27">
            <v>3.6903178513202324</v>
          </cell>
          <cell r="AD27">
            <v>3.985543279425851</v>
          </cell>
          <cell r="AE27">
            <v>4.304386741779919</v>
          </cell>
          <cell r="AF27">
            <v>4.648737681122313</v>
          </cell>
          <cell r="AG27">
            <v>5.020636695612098</v>
          </cell>
        </row>
        <row r="28">
          <cell r="B28">
            <v>1998</v>
          </cell>
          <cell r="C28">
            <v>0.9841623120910599</v>
          </cell>
          <cell r="D28">
            <v>1.1170968355176618</v>
          </cell>
          <cell r="E28">
            <v>1.1528347115765343</v>
          </cell>
          <cell r="F28">
            <v>1.1597934724110002</v>
          </cell>
          <cell r="G28">
            <v>1.127107359</v>
          </cell>
          <cell r="H28">
            <v>1.1104506</v>
          </cell>
          <cell r="I28">
            <v>1.0962</v>
          </cell>
          <cell r="J28">
            <v>1.05</v>
          </cell>
          <cell r="K28">
            <v>1</v>
          </cell>
          <cell r="L28">
            <v>0.9433962264150944</v>
          </cell>
          <cell r="M28">
            <v>0.881678716275789</v>
          </cell>
          <cell r="N28">
            <v>0.8163691817368416</v>
          </cell>
          <cell r="O28">
            <v>0.7558973904970756</v>
          </cell>
          <cell r="P28">
            <v>0.6999049912009958</v>
          </cell>
          <cell r="Q28">
            <v>0.648060177037959</v>
          </cell>
          <cell r="R28">
            <v>0.6000557194795917</v>
          </cell>
          <cell r="S28">
            <v>0.5556071476662886</v>
          </cell>
          <cell r="T28">
            <v>0.5144510626539709</v>
          </cell>
          <cell r="U28">
            <v>0.4763435765314545</v>
          </cell>
          <cell r="V28">
            <v>0.44105886715875414</v>
          </cell>
          <cell r="W28">
            <v>0.40838783996180933</v>
          </cell>
          <cell r="X28">
            <v>0.37813688885352714</v>
          </cell>
          <cell r="Y28">
            <v>0.350126748938451</v>
          </cell>
          <cell r="Z28">
            <v>0.3241914342022694</v>
          </cell>
          <cell r="AA28">
            <v>0.3001772538909902</v>
          </cell>
          <cell r="AB28">
            <v>0.2779419017509168</v>
          </cell>
          <cell r="AC28">
            <v>0.25735361273233043</v>
          </cell>
          <cell r="AD28">
            <v>0.2382903821595652</v>
          </cell>
          <cell r="AE28">
            <v>0.22063924274033814</v>
          </cell>
          <cell r="AF28">
            <v>0.20429559512994272</v>
          </cell>
          <cell r="AG28">
            <v>0.18916258808328026</v>
          </cell>
        </row>
        <row r="29">
          <cell r="C29">
            <v>1990</v>
          </cell>
          <cell r="D29">
            <v>1991</v>
          </cell>
          <cell r="E29">
            <v>1992</v>
          </cell>
          <cell r="F29">
            <v>1993</v>
          </cell>
          <cell r="G29">
            <v>1994</v>
          </cell>
          <cell r="H29">
            <v>1995</v>
          </cell>
          <cell r="I29">
            <v>1996</v>
          </cell>
          <cell r="J29">
            <v>1997</v>
          </cell>
          <cell r="K29">
            <v>1998</v>
          </cell>
          <cell r="L29">
            <v>1999</v>
          </cell>
          <cell r="M29">
            <v>2000</v>
          </cell>
          <cell r="N29">
            <v>2001</v>
          </cell>
          <cell r="O29">
            <v>2002</v>
          </cell>
          <cell r="P29">
            <v>2003</v>
          </cell>
          <cell r="Q29">
            <v>2004</v>
          </cell>
          <cell r="R29">
            <v>2005</v>
          </cell>
          <cell r="S29">
            <v>2006</v>
          </cell>
          <cell r="T29">
            <v>2007</v>
          </cell>
          <cell r="U29">
            <v>2008</v>
          </cell>
          <cell r="V29">
            <v>2009</v>
          </cell>
          <cell r="W29">
            <v>2010</v>
          </cell>
          <cell r="X29">
            <v>2011</v>
          </cell>
          <cell r="Y29">
            <v>2012</v>
          </cell>
          <cell r="Z29">
            <v>2013</v>
          </cell>
          <cell r="AA29">
            <v>2014</v>
          </cell>
          <cell r="AB29">
            <v>2015</v>
          </cell>
          <cell r="AC29">
            <v>2016</v>
          </cell>
          <cell r="AD29">
            <v>2017</v>
          </cell>
          <cell r="AE29">
            <v>2018</v>
          </cell>
          <cell r="AF29">
            <v>2019</v>
          </cell>
          <cell r="AG29">
            <v>2020</v>
          </cell>
        </row>
        <row r="30">
          <cell r="C30">
            <v>0</v>
          </cell>
          <cell r="D30">
            <v>0</v>
          </cell>
          <cell r="E30">
            <v>0</v>
          </cell>
          <cell r="F30">
            <v>14.4</v>
          </cell>
          <cell r="G30">
            <v>49.2</v>
          </cell>
          <cell r="H30">
            <v>12.2</v>
          </cell>
          <cell r="I30">
            <v>12.9</v>
          </cell>
          <cell r="J30">
            <v>13.6</v>
          </cell>
          <cell r="K30">
            <v>25.16785714420712</v>
          </cell>
          <cell r="L30">
            <v>26.16785714420712</v>
          </cell>
          <cell r="M30">
            <v>27.16785714420712</v>
          </cell>
          <cell r="N30">
            <v>28.16785714420712</v>
          </cell>
          <cell r="O30">
            <v>28.66785714420712</v>
          </cell>
          <cell r="P30">
            <v>29.16785714420712</v>
          </cell>
          <cell r="Q30">
            <v>29.66785714420712</v>
          </cell>
          <cell r="R30">
            <v>30.16785714420712</v>
          </cell>
          <cell r="S30">
            <v>30.66785714420712</v>
          </cell>
          <cell r="T30">
            <v>31.16785714420712</v>
          </cell>
          <cell r="U30">
            <v>31.66785714420712</v>
          </cell>
          <cell r="V30">
            <v>32.16785714420712</v>
          </cell>
          <cell r="W30">
            <v>32.66785714420712</v>
          </cell>
          <cell r="X30">
            <v>33.16785714420712</v>
          </cell>
          <cell r="Y30">
            <v>33.66785714420712</v>
          </cell>
          <cell r="Z30">
            <v>34.16785714420712</v>
          </cell>
          <cell r="AA30">
            <v>34.66785714420712</v>
          </cell>
          <cell r="AB30">
            <v>35.16785714420712</v>
          </cell>
          <cell r="AC30">
            <v>35.66785714420712</v>
          </cell>
          <cell r="AD30">
            <v>36.16785714420712</v>
          </cell>
          <cell r="AE30">
            <v>36.66785714420712</v>
          </cell>
          <cell r="AF30">
            <v>37.16785714420712</v>
          </cell>
          <cell r="AG30">
            <v>37.66785714420712</v>
          </cell>
        </row>
        <row r="31">
          <cell r="C31">
            <v>0</v>
          </cell>
          <cell r="D31">
            <v>0</v>
          </cell>
          <cell r="E31">
            <v>0</v>
          </cell>
          <cell r="F31">
            <v>857.916</v>
          </cell>
          <cell r="G31">
            <v>857.134</v>
          </cell>
          <cell r="H31">
            <v>959.549</v>
          </cell>
          <cell r="I31">
            <v>1134.93</v>
          </cell>
          <cell r="J31">
            <v>1148.002</v>
          </cell>
          <cell r="K31">
            <v>2095.584894</v>
          </cell>
          <cell r="L31">
            <v>3113.1045824711</v>
          </cell>
          <cell r="M31">
            <v>4309.008531778032</v>
          </cell>
          <cell r="N31">
            <v>5706.285289978403</v>
          </cell>
          <cell r="O31">
            <v>7321.192176731974</v>
          </cell>
          <cell r="P31">
            <v>9169.061282996427</v>
          </cell>
          <cell r="Q31">
            <v>11263.898680691364</v>
          </cell>
          <cell r="R31">
            <v>13617.96569216057</v>
          </cell>
          <cell r="S31">
            <v>16241.351482463746</v>
          </cell>
          <cell r="T31">
            <v>19141.547572618572</v>
          </cell>
          <cell r="U31">
            <v>22323.03597816632</v>
          </cell>
          <cell r="V31">
            <v>21139.915071323507</v>
          </cell>
          <cell r="W31">
            <v>20019.49957254336</v>
          </cell>
          <cell r="X31">
            <v>18958.46609519856</v>
          </cell>
          <cell r="Y31">
            <v>17953.667392153035</v>
          </cell>
          <cell r="Z31">
            <v>17002.123020368923</v>
          </cell>
          <cell r="AA31">
            <v>16101.010500289369</v>
          </cell>
          <cell r="AB31">
            <v>15247.65694377403</v>
          </cell>
          <cell r="AC31">
            <v>14439.531125754007</v>
          </cell>
          <cell r="AD31">
            <v>13674.235976089043</v>
          </cell>
          <cell r="AE31">
            <v>12949.501469356323</v>
          </cell>
          <cell r="AF31">
            <v>12263.177891480436</v>
          </cell>
          <cell r="AG31">
            <v>11613.229463231972</v>
          </cell>
        </row>
        <row r="32">
          <cell r="C32">
            <v>16397</v>
          </cell>
          <cell r="D32">
            <v>16397</v>
          </cell>
          <cell r="E32">
            <v>16397</v>
          </cell>
          <cell r="F32">
            <v>16397</v>
          </cell>
          <cell r="G32">
            <v>16397</v>
          </cell>
          <cell r="H32">
            <v>16397</v>
          </cell>
          <cell r="I32">
            <v>16397</v>
          </cell>
          <cell r="J32">
            <v>16397</v>
          </cell>
          <cell r="K32">
            <v>16397</v>
          </cell>
          <cell r="L32">
            <v>16397</v>
          </cell>
          <cell r="M32">
            <v>16397</v>
          </cell>
          <cell r="N32">
            <v>16397</v>
          </cell>
          <cell r="O32">
            <v>16397</v>
          </cell>
          <cell r="P32">
            <v>16396.999999997766</v>
          </cell>
          <cell r="Q32">
            <v>16396.999999997926</v>
          </cell>
          <cell r="R32">
            <v>16396.999999996395</v>
          </cell>
          <cell r="S32">
            <v>16396.999999996602</v>
          </cell>
          <cell r="T32">
            <v>16396.999999996773</v>
          </cell>
          <cell r="U32">
            <v>16396.999999996915</v>
          </cell>
          <cell r="V32">
            <v>16396.999999994994</v>
          </cell>
          <cell r="W32">
            <v>16396.99999999703</v>
          </cell>
          <cell r="X32">
            <v>16396.99999999712</v>
          </cell>
          <cell r="Y32">
            <v>16396.99999999568</v>
          </cell>
          <cell r="Z32">
            <v>16396.999999994434</v>
          </cell>
          <cell r="AA32">
            <v>16396.999999994605</v>
          </cell>
          <cell r="AB32">
            <v>16396.999999994754</v>
          </cell>
          <cell r="AC32">
            <v>16396.99999999381</v>
          </cell>
          <cell r="AD32">
            <v>16396.999999993972</v>
          </cell>
          <cell r="AE32">
            <v>16396.99999999411</v>
          </cell>
          <cell r="AF32">
            <v>16396.999999991654</v>
          </cell>
          <cell r="AG32">
            <v>16396.99999999266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5 a melléklet"/>
      <sheetName val="adszolg. "/>
      <sheetName val="TVM 2003."/>
      <sheetName val="Int.felúj.2003."/>
      <sheetName val="EIB"/>
      <sheetName val="Útép 2001."/>
      <sheetName val="Sportcs 2002"/>
      <sheetName val="Útép 2002 "/>
      <sheetName val="TVM 2002 "/>
      <sheetName val="Útép 2003"/>
      <sheetName val="Ber hitel 2004 "/>
      <sheetName val="Útépítések 2004. áth "/>
      <sheetName val="Széchenyi tornacsarnok MFB"/>
      <sheetName val="Útép 2005 OTP-MFB"/>
      <sheetName val="Útépítések 2005 CIB"/>
      <sheetName val="ber hitel 2006 CIB"/>
      <sheetName val="kötvény"/>
      <sheetName val="Kórház csat"/>
      <sheetName val="Thököly csat"/>
      <sheetName val="VI. öbl csat"/>
      <sheetName val="fszla hitel "/>
      <sheetName val="5.a.adósságszolg."/>
      <sheetName val="5.a.adósságszolg. (2)"/>
      <sheetName val="kez.Ip.park hitel"/>
      <sheetName val="kez.Ip.park hitel Merkantil"/>
      <sheetName val="TV hitel"/>
      <sheetName val="Munka1"/>
    </sheetNames>
    <sheetDataSet>
      <sheetData sheetId="16">
        <row r="16">
          <cell r="F16">
            <v>301009203.00000006</v>
          </cell>
        </row>
        <row r="20">
          <cell r="F20">
            <v>301009203.00000006</v>
          </cell>
        </row>
        <row r="24">
          <cell r="F24">
            <v>301009203.00000006</v>
          </cell>
        </row>
        <row r="28">
          <cell r="F28">
            <v>300359296.76625</v>
          </cell>
          <cell r="G28">
            <v>70513750</v>
          </cell>
        </row>
        <row r="32">
          <cell r="F32">
            <v>297109765.5975</v>
          </cell>
          <cell r="G32">
            <v>141027500</v>
          </cell>
        </row>
        <row r="36">
          <cell r="F36">
            <v>291698441.06175</v>
          </cell>
          <cell r="G36">
            <v>164037250</v>
          </cell>
        </row>
        <row r="40">
          <cell r="F40">
            <v>285650892.52875</v>
          </cell>
          <cell r="G40">
            <v>164037250</v>
          </cell>
        </row>
        <row r="44">
          <cell r="F44">
            <v>279165512.42775</v>
          </cell>
          <cell r="G44">
            <v>211541249.99999997</v>
          </cell>
        </row>
        <row r="48">
          <cell r="F48">
            <v>271154562.957</v>
          </cell>
          <cell r="G48">
            <v>234550999.99999997</v>
          </cell>
        </row>
        <row r="52">
          <cell r="F52">
            <v>262295314.82325</v>
          </cell>
          <cell r="G52">
            <v>257560749.99999997</v>
          </cell>
        </row>
        <row r="56">
          <cell r="F56">
            <v>252574085.79</v>
          </cell>
          <cell r="G56">
            <v>282055000</v>
          </cell>
        </row>
        <row r="60">
          <cell r="F60">
            <v>242175586.04999998</v>
          </cell>
          <cell r="G60">
            <v>282055000</v>
          </cell>
        </row>
        <row r="64">
          <cell r="F64">
            <v>231134021.1945</v>
          </cell>
          <cell r="G64">
            <v>351826500</v>
          </cell>
        </row>
        <row r="68">
          <cell r="F68">
            <v>216740308.39650002</v>
          </cell>
          <cell r="G68">
            <v>506214499.99999994</v>
          </cell>
        </row>
        <row r="72">
          <cell r="F72">
            <v>197988803.27325</v>
          </cell>
          <cell r="G72">
            <v>515863749.99999994</v>
          </cell>
        </row>
        <row r="76">
          <cell r="F76">
            <v>178539504.08850002</v>
          </cell>
          <cell r="G76">
            <v>562625500</v>
          </cell>
        </row>
        <row r="80">
          <cell r="F80">
            <v>157667252.30775002</v>
          </cell>
          <cell r="G80">
            <v>576728250</v>
          </cell>
        </row>
        <row r="84">
          <cell r="F84">
            <v>136275075.54000002</v>
          </cell>
          <cell r="G84">
            <v>590831000</v>
          </cell>
        </row>
        <row r="88">
          <cell r="F88">
            <v>114321927.07575002</v>
          </cell>
          <cell r="G88">
            <v>609387250</v>
          </cell>
        </row>
        <row r="92">
          <cell r="F92">
            <v>91636778.95875001</v>
          </cell>
          <cell r="G92">
            <v>633139250</v>
          </cell>
        </row>
        <row r="96">
          <cell r="F96">
            <v>68075967.70575</v>
          </cell>
          <cell r="G96">
            <v>656891250</v>
          </cell>
        </row>
        <row r="100">
          <cell r="F100">
            <v>43728427.854</v>
          </cell>
          <cell r="G100">
            <v>670994000</v>
          </cell>
        </row>
        <row r="104">
          <cell r="F104">
            <v>18881486.37</v>
          </cell>
          <cell r="G104">
            <v>682870000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edölap"/>
      <sheetName val="Ábra_1"/>
      <sheetName val="Ábra_2"/>
      <sheetName val="Ábra_3"/>
      <sheetName val="Ábra_4"/>
      <sheetName val="Kockázat"/>
      <sheetName val="Háttéradatok"/>
      <sheetName val="Adatbevitel"/>
      <sheetName val="Elörejelzés"/>
      <sheetName val="Költségvetés"/>
      <sheetName val="Megoszlás"/>
      <sheetName val="PerCap"/>
      <sheetName val="Reálérték"/>
      <sheetName val="Szcenáriók"/>
      <sheetName val="Hitelfelvét"/>
      <sheetName val="Chart_data"/>
      <sheetName val="Info sheet"/>
      <sheetName val="Simple"/>
      <sheetName val="Double"/>
      <sheetName val="Option"/>
      <sheetName val="Year"/>
      <sheetName val="Forecast"/>
      <sheetName val="Estimate"/>
      <sheetName val="Scenarios"/>
      <sheetName val="Credit"/>
      <sheetName val="Charter"/>
      <sheetName val="Risk"/>
      <sheetName val="Risk-scen"/>
      <sheetName val="Risk-trend"/>
      <sheetName val="Risk-menu"/>
      <sheetName val="a_Core"/>
      <sheetName val="b_Menu_commands"/>
      <sheetName val="c_Simple_routines"/>
      <sheetName val="d_Double_routines"/>
      <sheetName val="e_Year_routines"/>
      <sheetName val="f_Option_routines"/>
      <sheetName val="g_Forecast_routines"/>
      <sheetName val="h_Estimate_routines"/>
      <sheetName val="i_Import_routines"/>
      <sheetName val="j_Credit_routines"/>
      <sheetName val="k_Scenario_routines"/>
      <sheetName val="l_Charter_routines"/>
      <sheetName val="m_Risk_routines"/>
      <sheetName val="n_Risk_menu"/>
      <sheetName val="Akadálymentesítési közmunkapr."/>
      <sheetName val="Út-híd szakfeladat"/>
      <sheetName val="Parkfenntartás"/>
      <sheetName val="Vízkárelhárítás"/>
      <sheetName val="Köztisztaság"/>
      <sheetName val="Temetőfenntartás"/>
      <sheetName val="Közvilágítás"/>
      <sheetName val="Állategészségügy"/>
      <sheetName val="Mezőgazdaság"/>
      <sheetName val="Közműnyilvántartás"/>
      <sheetName val="Lakásüzemeltetés"/>
      <sheetName val="Közösköltség"/>
      <sheetName val="Zöld Ház közös ktg."/>
      <sheetName val="Lakás karbantartás"/>
      <sheetName val="Lakásért. bony.díja"/>
      <sheetName val="Kezelési díj"/>
      <sheetName val="Lakás felújítás"/>
      <sheetName val="Lakás mobilitás"/>
      <sheetName val="Bérlőkijelölés"/>
      <sheetName val="Ped.szálló üzemeltetése"/>
      <sheetName val="Első lakáshoz jutók"/>
      <sheetName val="VMZK címzett"/>
      <sheetName val="Játszótéri program"/>
      <sheetName val="Region.hulladéklerakó"/>
      <sheetName val="Széchenyi park építés"/>
      <sheetName val="Színház műszaki ellátó rendszer"/>
      <sheetName val="Civil Ház"/>
      <sheetName val="Csallóköz ovi"/>
      <sheetName val="Széchenyi Gimn tornacsarnok"/>
      <sheetName val="Kodály Z ÁI"/>
      <sheetName val="Mátyás"/>
      <sheetName val="Gépipari címzett"/>
      <sheetName val="TVM 91 lakás"/>
      <sheetName val="Kerékpárút"/>
      <sheetName val="2004. évi útépítések"/>
      <sheetName val="TVM villany"/>
      <sheetName val="Repülős emlékmű"/>
      <sheetName val="Gorkij úti csapadékvíz"/>
      <sheetName val="CORA lépcső"/>
      <sheetName val="Közvilágítás bővítése"/>
      <sheetName val="közbeszerzés"/>
      <sheetName val="Védelmi tervek"/>
      <sheetName val="Csapadékvíz elvez beruh konc"/>
      <sheetName val="Ip.tech.lakóép.korsz."/>
      <sheetName val="TVM lakótelepi lakások"/>
      <sheetName val="Bozsik"/>
      <sheetName val="Logisztikai központ"/>
      <sheetName val="Kossuth tér"/>
      <sheetName val="Inkubátorház"/>
      <sheetName val="1"/>
      <sheetName val="2"/>
      <sheetName val="3"/>
      <sheetName val="4"/>
      <sheetName val="5"/>
      <sheetName val="6"/>
      <sheetName val="vis major felúj"/>
      <sheetName val="vis major kiemelt int."/>
      <sheetName val="vis major 10"/>
      <sheetName val="Városszépítési Alap"/>
      <sheetName val="Környezetvédelmi Alap"/>
      <sheetName val="ÉKHVTA"/>
    </sheetNames>
    <sheetDataSet>
      <sheetData sheetId="6">
        <row r="29">
          <cell r="C29">
            <v>1990</v>
          </cell>
          <cell r="D29">
            <v>1991</v>
          </cell>
          <cell r="E29">
            <v>1992</v>
          </cell>
          <cell r="F29">
            <v>1993</v>
          </cell>
          <cell r="G29">
            <v>1994</v>
          </cell>
          <cell r="H29">
            <v>1995</v>
          </cell>
          <cell r="I29">
            <v>1996</v>
          </cell>
          <cell r="J29">
            <v>1997</v>
          </cell>
          <cell r="K29">
            <v>1998</v>
          </cell>
          <cell r="L29">
            <v>1999</v>
          </cell>
          <cell r="M29">
            <v>2000</v>
          </cell>
          <cell r="N29">
            <v>2001</v>
          </cell>
          <cell r="O29">
            <v>2002</v>
          </cell>
          <cell r="P29">
            <v>2003</v>
          </cell>
          <cell r="Q29">
            <v>2004</v>
          </cell>
          <cell r="R29">
            <v>2005</v>
          </cell>
          <cell r="S29">
            <v>2006</v>
          </cell>
          <cell r="T29">
            <v>2007</v>
          </cell>
          <cell r="U29">
            <v>2008</v>
          </cell>
          <cell r="V29">
            <v>2009</v>
          </cell>
          <cell r="W29">
            <v>2010</v>
          </cell>
          <cell r="X29">
            <v>2011</v>
          </cell>
          <cell r="Y29">
            <v>2012</v>
          </cell>
          <cell r="Z29">
            <v>2013</v>
          </cell>
          <cell r="AA29">
            <v>2014</v>
          </cell>
          <cell r="AB29">
            <v>2015</v>
          </cell>
          <cell r="AC29">
            <v>2016</v>
          </cell>
          <cell r="AD29">
            <v>2017</v>
          </cell>
          <cell r="AE29">
            <v>2018</v>
          </cell>
          <cell r="AF29">
            <v>2019</v>
          </cell>
          <cell r="AG29">
            <v>2020</v>
          </cell>
        </row>
        <row r="30">
          <cell r="C30">
            <v>0</v>
          </cell>
          <cell r="D30">
            <v>0</v>
          </cell>
          <cell r="E30">
            <v>0</v>
          </cell>
          <cell r="F30">
            <v>14.4</v>
          </cell>
          <cell r="G30">
            <v>49.2</v>
          </cell>
          <cell r="H30">
            <v>12.2</v>
          </cell>
          <cell r="I30">
            <v>12.9</v>
          </cell>
          <cell r="J30">
            <v>13.6</v>
          </cell>
          <cell r="K30">
            <v>25.16785714420712</v>
          </cell>
          <cell r="L30">
            <v>26.16785714420712</v>
          </cell>
          <cell r="M30">
            <v>27.16785714420712</v>
          </cell>
          <cell r="N30">
            <v>28.16785714420712</v>
          </cell>
          <cell r="O30">
            <v>28.66785714420712</v>
          </cell>
          <cell r="P30">
            <v>29.16785714420712</v>
          </cell>
          <cell r="Q30">
            <v>29.66785714420712</v>
          </cell>
          <cell r="R30">
            <v>30.16785714420712</v>
          </cell>
          <cell r="S30">
            <v>30.66785714420712</v>
          </cell>
          <cell r="T30">
            <v>31.16785714420712</v>
          </cell>
          <cell r="U30">
            <v>31.66785714420712</v>
          </cell>
          <cell r="V30">
            <v>32.16785714420712</v>
          </cell>
          <cell r="W30">
            <v>32.66785714420712</v>
          </cell>
          <cell r="X30">
            <v>33.16785714420712</v>
          </cell>
          <cell r="Y30">
            <v>33.66785714420712</v>
          </cell>
          <cell r="Z30">
            <v>34.16785714420712</v>
          </cell>
          <cell r="AA30">
            <v>34.66785714420712</v>
          </cell>
          <cell r="AB30">
            <v>35.16785714420712</v>
          </cell>
          <cell r="AC30">
            <v>35.66785714420712</v>
          </cell>
          <cell r="AD30">
            <v>36.16785714420712</v>
          </cell>
          <cell r="AE30">
            <v>36.66785714420712</v>
          </cell>
          <cell r="AF30">
            <v>37.16785714420712</v>
          </cell>
          <cell r="AG30">
            <v>37.66785714420712</v>
          </cell>
        </row>
        <row r="31">
          <cell r="C31">
            <v>0</v>
          </cell>
          <cell r="D31">
            <v>0</v>
          </cell>
          <cell r="E31">
            <v>0</v>
          </cell>
          <cell r="F31">
            <v>857.916</v>
          </cell>
          <cell r="G31">
            <v>857.134</v>
          </cell>
          <cell r="H31">
            <v>959.549</v>
          </cell>
          <cell r="I31">
            <v>1134.93</v>
          </cell>
          <cell r="J31">
            <v>1148.002</v>
          </cell>
          <cell r="K31">
            <v>2095.584894</v>
          </cell>
          <cell r="L31">
            <v>3113.1045824711</v>
          </cell>
          <cell r="M31">
            <v>4309.008531778032</v>
          </cell>
          <cell r="N31">
            <v>5706.285289978403</v>
          </cell>
          <cell r="O31">
            <v>7321.192176731974</v>
          </cell>
          <cell r="P31">
            <v>9169.061282996427</v>
          </cell>
          <cell r="Q31">
            <v>11263.898680691364</v>
          </cell>
          <cell r="R31">
            <v>13617.96569216057</v>
          </cell>
          <cell r="S31">
            <v>16241.351482463746</v>
          </cell>
          <cell r="T31">
            <v>19141.547572618572</v>
          </cell>
          <cell r="U31">
            <v>22323.03597816632</v>
          </cell>
          <cell r="V31">
            <v>21139.915071323507</v>
          </cell>
          <cell r="W31">
            <v>20019.49957254336</v>
          </cell>
          <cell r="X31">
            <v>18958.46609519856</v>
          </cell>
          <cell r="Y31">
            <v>17953.667392153035</v>
          </cell>
          <cell r="Z31">
            <v>17002.123020368923</v>
          </cell>
          <cell r="AA31">
            <v>16101.010500289369</v>
          </cell>
          <cell r="AB31">
            <v>15247.65694377403</v>
          </cell>
          <cell r="AC31">
            <v>14439.531125754007</v>
          </cell>
          <cell r="AD31">
            <v>13674.235976089043</v>
          </cell>
          <cell r="AE31">
            <v>12949.501469356323</v>
          </cell>
          <cell r="AF31">
            <v>12263.177891480436</v>
          </cell>
          <cell r="AG31">
            <v>11613.229463231972</v>
          </cell>
        </row>
        <row r="32">
          <cell r="C32">
            <v>16397</v>
          </cell>
          <cell r="D32">
            <v>16397</v>
          </cell>
          <cell r="E32">
            <v>16397</v>
          </cell>
          <cell r="F32">
            <v>16397</v>
          </cell>
          <cell r="G32">
            <v>16397</v>
          </cell>
          <cell r="H32">
            <v>16397</v>
          </cell>
          <cell r="I32">
            <v>16397</v>
          </cell>
          <cell r="J32">
            <v>16397</v>
          </cell>
          <cell r="K32">
            <v>16397</v>
          </cell>
          <cell r="L32">
            <v>16397</v>
          </cell>
          <cell r="M32">
            <v>16397</v>
          </cell>
          <cell r="N32">
            <v>16397</v>
          </cell>
          <cell r="O32">
            <v>16397</v>
          </cell>
          <cell r="P32">
            <v>16396.999999997766</v>
          </cell>
          <cell r="Q32">
            <v>16396.999999997926</v>
          </cell>
          <cell r="R32">
            <v>16396.999999996395</v>
          </cell>
          <cell r="S32">
            <v>16396.999999996602</v>
          </cell>
          <cell r="T32">
            <v>16396.999999996773</v>
          </cell>
          <cell r="U32">
            <v>16396.999999996915</v>
          </cell>
          <cell r="V32">
            <v>16396.999999994994</v>
          </cell>
          <cell r="W32">
            <v>16396.99999999703</v>
          </cell>
          <cell r="X32">
            <v>16396.99999999712</v>
          </cell>
          <cell r="Y32">
            <v>16396.99999999568</v>
          </cell>
          <cell r="Z32">
            <v>16396.999999994434</v>
          </cell>
          <cell r="AA32">
            <v>16396.999999994605</v>
          </cell>
          <cell r="AB32">
            <v>16396.999999994754</v>
          </cell>
          <cell r="AC32">
            <v>16396.99999999381</v>
          </cell>
          <cell r="AD32">
            <v>16396.999999993972</v>
          </cell>
          <cell r="AE32">
            <v>16396.99999999411</v>
          </cell>
          <cell r="AF32">
            <v>16396.999999991654</v>
          </cell>
          <cell r="AG32">
            <v>16396.99999999266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sz. Mérleg"/>
      <sheetName val="1.a.mell. állami elsz"/>
      <sheetName val="1.a.a.mell.int bontás"/>
      <sheetName val="1.b.mell. kötött"/>
      <sheetName val="1.b.A. kötött int."/>
      <sheetName val=" 1.c.bevétel"/>
      <sheetName val="2.sz. mell.intézmények"/>
      <sheetName val="2.a.sz.mell.tartalék"/>
      <sheetName val="2.b.sz.mell.2%"/>
      <sheetName val="3.sz kiadás"/>
      <sheetName val="3.sz.kiemelt"/>
      <sheetName val="3.a. Beruházás forrásszerk.   "/>
      <sheetName val="3.b.Kétpó"/>
      <sheetName val="3.b.log kp-inf szolg "/>
      <sheetName val="3.b.piac belváros"/>
      <sheetName val="4.sz.mérleg tőke és folyó"/>
      <sheetName val="5.sz.kötelezettségek"/>
      <sheetName val="5.a. adósságszolg "/>
      <sheetName val="5.b.beruházás"/>
      <sheetName val="5.c.felújítási köt."/>
      <sheetName val="5.d.felh.köt."/>
      <sheetName val="5 e közvetett tám"/>
      <sheetName val="6.sz.melléklet"/>
      <sheetName val="6.a.sz.melléklet önk.szintű"/>
      <sheetName val="6.a.a.sz.Intézményszolg."/>
      <sheetName val="6.b.melléklet"/>
      <sheetName val="7.sz. clf"/>
      <sheetName val="8.sz mell. egyenleg"/>
      <sheetName val="egyszerűsített mérleg"/>
      <sheetName val="Pénzforg. tábla"/>
      <sheetName val="Pénzmaradv."/>
      <sheetName val="12.sz.kis.egysz.mérleg"/>
      <sheetName val="13.sz.kis.pénzforgalom"/>
      <sheetName val="14.sz.kis.pénzmaradvány"/>
      <sheetName val="6.a.sz.melléklet"/>
      <sheetName val="15.sz.melléklet"/>
      <sheetName val="16.sz.Pénzügyi mutatók"/>
      <sheetName val="16.sz.melléklet"/>
      <sheetName val="1.sz.függelék"/>
      <sheetName val="2.sz függelék"/>
      <sheetName val="3. sz. függelék"/>
    </sheetNames>
    <sheetDataSet>
      <sheetData sheetId="0">
        <row r="9">
          <cell r="D9">
            <v>9344495</v>
          </cell>
          <cell r="J9">
            <v>13475220</v>
          </cell>
        </row>
        <row r="11">
          <cell r="D11">
            <v>1297750</v>
          </cell>
        </row>
        <row r="13">
          <cell r="J13">
            <v>11067345</v>
          </cell>
        </row>
        <row r="31">
          <cell r="D31">
            <v>8641352</v>
          </cell>
        </row>
        <row r="41">
          <cell r="D41">
            <v>1327544</v>
          </cell>
        </row>
        <row r="47">
          <cell r="D47">
            <v>3839710</v>
          </cell>
        </row>
        <row r="60">
          <cell r="D60">
            <v>1114827</v>
          </cell>
        </row>
        <row r="62">
          <cell r="D62">
            <v>4536910</v>
          </cell>
        </row>
        <row r="64">
          <cell r="D64">
            <v>773118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Közoktatás"/>
      <sheetName val="Tűzoltó"/>
      <sheetName val="Kötött rendelethez"/>
      <sheetName val="3.jogcím szerinti"/>
      <sheetName val="Állami rendelethez"/>
      <sheetName val="Összesítő kerekített"/>
      <sheetName val="Összesítő"/>
      <sheetName val="Adatlap összesítő"/>
      <sheetName val="Óvodák"/>
      <sheetName val="Kodály"/>
      <sheetName val="Bartók"/>
      <sheetName val="Fiumei"/>
      <sheetName val="Belvárosi"/>
      <sheetName val="Kassai"/>
      <sheetName val="Széchenyi krt."/>
      <sheetName val="Újváros"/>
      <sheetName val="II.Rákóczi"/>
      <sheetName val="Szanda"/>
      <sheetName val="Liget út"/>
      <sheetName val="Mátyás"/>
      <sheetName val="Kőrösi"/>
      <sheetName val="Szent-györgyi"/>
      <sheetName val="Verseghy"/>
      <sheetName val="Varga"/>
      <sheetName val="Tparti"/>
      <sheetName val="Széchenyi gimi"/>
      <sheetName val="Egészségügyi"/>
      <sheetName val="Közgé"/>
      <sheetName val="Gépipari"/>
      <sheetName val="Pálfy"/>
      <sheetName val="Építészeti"/>
      <sheetName val="Keró"/>
      <sheetName val="Ruhaipari"/>
      <sheetName val="Kollégium"/>
      <sheetName val="Ped.szaksz"/>
      <sheetName val="Adatlap"/>
      <sheetName val="BIG"/>
      <sheetName val="Segéd összesen"/>
      <sheetName val="Óvodák segéd"/>
      <sheetName val="Kodály segéd"/>
      <sheetName val="Bartók segéd"/>
      <sheetName val="Fiumei segéd"/>
      <sheetName val="Belváros segéd"/>
      <sheetName val="Kassai segéd"/>
      <sheetName val="Széchenyi krt segéd"/>
      <sheetName val="Újváros segéd"/>
      <sheetName val="II.Rákóczi segéd"/>
      <sheetName val="Szanda segéd"/>
      <sheetName val="Liget út segéd"/>
      <sheetName val="Mátyás segéd"/>
      <sheetName val="Kőrösi segéd"/>
      <sheetName val="Szent-györgyi segéd"/>
      <sheetName val="Verseghy segéd"/>
      <sheetName val="Varga segéd"/>
      <sheetName val="Tparti segéd"/>
      <sheetName val="Széchenyi gimi segéd"/>
      <sheetName val="Egészségügyi segéd"/>
      <sheetName val="Közgé segéd"/>
      <sheetName val="Gépipari segéd"/>
      <sheetName val="Pálfy segéd"/>
      <sheetName val="Építészeti segéd"/>
      <sheetName val="Keró segéd"/>
      <sheetName val="Ruhaipari segéd"/>
      <sheetName val="Kollégium segéd"/>
    </sheetNames>
    <sheetDataSet>
      <sheetData sheetId="8">
        <row r="16">
          <cell r="C16">
            <v>461</v>
          </cell>
        </row>
        <row r="17">
          <cell r="C17">
            <v>1911</v>
          </cell>
        </row>
        <row r="23">
          <cell r="D23">
            <v>1090</v>
          </cell>
        </row>
        <row r="24">
          <cell r="D24">
            <v>1278</v>
          </cell>
        </row>
        <row r="146">
          <cell r="C146">
            <v>18</v>
          </cell>
        </row>
        <row r="151">
          <cell r="D151">
            <v>15</v>
          </cell>
        </row>
        <row r="158">
          <cell r="C158">
            <v>34</v>
          </cell>
        </row>
        <row r="164">
          <cell r="D164">
            <v>16</v>
          </cell>
        </row>
        <row r="170">
          <cell r="D170">
            <v>18</v>
          </cell>
        </row>
        <row r="194">
          <cell r="C194">
            <v>32.5</v>
          </cell>
        </row>
        <row r="199">
          <cell r="D199">
            <v>33</v>
          </cell>
        </row>
        <row r="257">
          <cell r="C257">
            <v>880</v>
          </cell>
        </row>
      </sheetData>
      <sheetData sheetId="9">
        <row r="27">
          <cell r="C27">
            <v>79</v>
          </cell>
        </row>
        <row r="28">
          <cell r="C28">
            <v>133</v>
          </cell>
        </row>
        <row r="29">
          <cell r="C29">
            <v>71</v>
          </cell>
        </row>
        <row r="30">
          <cell r="C30">
            <v>87</v>
          </cell>
        </row>
        <row r="31">
          <cell r="C31">
            <v>105</v>
          </cell>
        </row>
        <row r="32">
          <cell r="C32">
            <v>200</v>
          </cell>
        </row>
        <row r="34">
          <cell r="D34">
            <v>139</v>
          </cell>
        </row>
        <row r="35">
          <cell r="D35">
            <v>58</v>
          </cell>
        </row>
        <row r="36">
          <cell r="D36">
            <v>75</v>
          </cell>
        </row>
        <row r="37">
          <cell r="D37">
            <v>158</v>
          </cell>
        </row>
        <row r="38">
          <cell r="D38">
            <v>196</v>
          </cell>
        </row>
        <row r="66">
          <cell r="C66">
            <v>56.2</v>
          </cell>
        </row>
        <row r="74">
          <cell r="D74">
            <v>53.2</v>
          </cell>
        </row>
        <row r="75">
          <cell r="D75">
            <v>53.2</v>
          </cell>
        </row>
        <row r="100">
          <cell r="C100">
            <v>37</v>
          </cell>
        </row>
        <row r="101">
          <cell r="C101">
            <v>283</v>
          </cell>
        </row>
        <row r="104">
          <cell r="D104">
            <v>19</v>
          </cell>
        </row>
        <row r="105">
          <cell r="D105">
            <v>139</v>
          </cell>
        </row>
        <row r="106">
          <cell r="D106">
            <v>58</v>
          </cell>
        </row>
        <row r="107">
          <cell r="D107">
            <v>75</v>
          </cell>
        </row>
        <row r="134">
          <cell r="C134">
            <v>3</v>
          </cell>
        </row>
        <row r="138">
          <cell r="D138">
            <v>1</v>
          </cell>
        </row>
        <row r="146">
          <cell r="C146">
            <v>3</v>
          </cell>
        </row>
        <row r="153">
          <cell r="D153">
            <v>3</v>
          </cell>
        </row>
        <row r="159">
          <cell r="C159">
            <v>70</v>
          </cell>
        </row>
        <row r="165">
          <cell r="D165">
            <v>3</v>
          </cell>
        </row>
        <row r="171">
          <cell r="D171">
            <v>31</v>
          </cell>
        </row>
        <row r="258">
          <cell r="C258">
            <v>212</v>
          </cell>
        </row>
        <row r="267">
          <cell r="D267">
            <v>12</v>
          </cell>
        </row>
        <row r="269">
          <cell r="D269">
            <v>265</v>
          </cell>
        </row>
        <row r="270">
          <cell r="D270">
            <v>626</v>
          </cell>
        </row>
      </sheetData>
      <sheetData sheetId="10">
        <row r="63">
          <cell r="C63">
            <v>401</v>
          </cell>
        </row>
        <row r="71">
          <cell r="D71">
            <v>402.5</v>
          </cell>
        </row>
      </sheetData>
      <sheetData sheetId="11">
        <row r="27">
          <cell r="C27">
            <v>57</v>
          </cell>
        </row>
        <row r="28">
          <cell r="C28">
            <v>124</v>
          </cell>
        </row>
        <row r="29">
          <cell r="C29">
            <v>86</v>
          </cell>
        </row>
        <row r="30">
          <cell r="C30">
            <v>77</v>
          </cell>
        </row>
        <row r="31">
          <cell r="C31">
            <v>91</v>
          </cell>
        </row>
        <row r="32">
          <cell r="C32">
            <v>184</v>
          </cell>
        </row>
        <row r="34">
          <cell r="D34">
            <v>132</v>
          </cell>
        </row>
        <row r="35">
          <cell r="D35">
            <v>72</v>
          </cell>
        </row>
        <row r="36">
          <cell r="D36">
            <v>52</v>
          </cell>
        </row>
        <row r="37">
          <cell r="D37">
            <v>163</v>
          </cell>
        </row>
        <row r="38">
          <cell r="D38">
            <v>179</v>
          </cell>
        </row>
        <row r="100">
          <cell r="C100">
            <v>139</v>
          </cell>
        </row>
        <row r="101">
          <cell r="C101">
            <v>129</v>
          </cell>
        </row>
        <row r="103">
          <cell r="D103">
            <v>40</v>
          </cell>
        </row>
        <row r="104">
          <cell r="D104">
            <v>26</v>
          </cell>
        </row>
        <row r="105">
          <cell r="D105">
            <v>132</v>
          </cell>
        </row>
        <row r="134">
          <cell r="C134">
            <v>1</v>
          </cell>
        </row>
        <row r="138">
          <cell r="D138">
            <v>1</v>
          </cell>
        </row>
        <row r="146">
          <cell r="C146">
            <v>2</v>
          </cell>
        </row>
        <row r="153">
          <cell r="D153">
            <v>2</v>
          </cell>
        </row>
        <row r="159">
          <cell r="C159">
            <v>55</v>
          </cell>
        </row>
        <row r="165">
          <cell r="D165">
            <v>6</v>
          </cell>
        </row>
        <row r="171">
          <cell r="D171">
            <v>26</v>
          </cell>
        </row>
        <row r="258">
          <cell r="C258">
            <v>141</v>
          </cell>
        </row>
        <row r="267">
          <cell r="D267">
            <v>14</v>
          </cell>
        </row>
        <row r="269">
          <cell r="D269">
            <v>175</v>
          </cell>
        </row>
        <row r="270">
          <cell r="D270">
            <v>598</v>
          </cell>
        </row>
      </sheetData>
      <sheetData sheetId="12">
        <row r="27">
          <cell r="C27">
            <v>60</v>
          </cell>
        </row>
        <row r="28">
          <cell r="C28">
            <v>97</v>
          </cell>
        </row>
        <row r="29">
          <cell r="C29">
            <v>57</v>
          </cell>
        </row>
        <row r="30">
          <cell r="C30">
            <v>48</v>
          </cell>
        </row>
        <row r="31">
          <cell r="C31">
            <v>56</v>
          </cell>
        </row>
        <row r="32">
          <cell r="C32">
            <v>119</v>
          </cell>
        </row>
        <row r="34">
          <cell r="D34">
            <v>112</v>
          </cell>
        </row>
        <row r="35">
          <cell r="D35">
            <v>50</v>
          </cell>
        </row>
        <row r="36">
          <cell r="D36">
            <v>47</v>
          </cell>
        </row>
        <row r="37">
          <cell r="D37">
            <v>105</v>
          </cell>
        </row>
        <row r="38">
          <cell r="D38">
            <v>115</v>
          </cell>
        </row>
        <row r="100">
          <cell r="C100">
            <v>143</v>
          </cell>
        </row>
        <row r="103">
          <cell r="D103">
            <v>63</v>
          </cell>
        </row>
        <row r="104">
          <cell r="D104">
            <v>8</v>
          </cell>
        </row>
        <row r="159">
          <cell r="C159">
            <v>27</v>
          </cell>
        </row>
        <row r="165">
          <cell r="D165">
            <v>13</v>
          </cell>
        </row>
        <row r="171">
          <cell r="D171">
            <v>6</v>
          </cell>
        </row>
        <row r="258">
          <cell r="C258">
            <v>82.39</v>
          </cell>
        </row>
        <row r="267">
          <cell r="D267">
            <v>6</v>
          </cell>
        </row>
        <row r="269">
          <cell r="D269">
            <v>112</v>
          </cell>
        </row>
        <row r="270">
          <cell r="D270">
            <v>429</v>
          </cell>
        </row>
      </sheetData>
      <sheetData sheetId="13">
        <row r="27">
          <cell r="C27">
            <v>62</v>
          </cell>
        </row>
        <row r="28">
          <cell r="C28">
            <v>111</v>
          </cell>
        </row>
        <row r="29">
          <cell r="C29">
            <v>71</v>
          </cell>
        </row>
        <row r="30">
          <cell r="C30">
            <v>53</v>
          </cell>
        </row>
        <row r="31">
          <cell r="C31">
            <v>70</v>
          </cell>
        </row>
        <row r="32">
          <cell r="C32">
            <v>126</v>
          </cell>
        </row>
        <row r="34">
          <cell r="D34">
            <v>115</v>
          </cell>
        </row>
        <row r="35">
          <cell r="D35">
            <v>56</v>
          </cell>
        </row>
        <row r="36">
          <cell r="D36">
            <v>54</v>
          </cell>
        </row>
        <row r="37">
          <cell r="D37">
            <v>124</v>
          </cell>
        </row>
        <row r="38">
          <cell r="D38">
            <v>135</v>
          </cell>
        </row>
        <row r="100">
          <cell r="C100">
            <v>68</v>
          </cell>
        </row>
        <row r="101">
          <cell r="C101">
            <v>118</v>
          </cell>
        </row>
        <row r="103">
          <cell r="D103">
            <v>25</v>
          </cell>
        </row>
        <row r="104">
          <cell r="D104">
            <v>9</v>
          </cell>
        </row>
        <row r="105">
          <cell r="D105">
            <v>114</v>
          </cell>
        </row>
        <row r="134">
          <cell r="C134">
            <v>1</v>
          </cell>
        </row>
        <row r="138">
          <cell r="D138">
            <v>1</v>
          </cell>
        </row>
        <row r="159">
          <cell r="C159">
            <v>14</v>
          </cell>
        </row>
        <row r="171">
          <cell r="D171">
            <v>15</v>
          </cell>
        </row>
        <row r="258">
          <cell r="C258">
            <v>101</v>
          </cell>
        </row>
        <row r="267">
          <cell r="D267">
            <v>3</v>
          </cell>
        </row>
        <row r="269">
          <cell r="D269">
            <v>120</v>
          </cell>
        </row>
        <row r="270">
          <cell r="D270">
            <v>484</v>
          </cell>
        </row>
      </sheetData>
      <sheetData sheetId="14">
        <row r="27">
          <cell r="C27">
            <v>51</v>
          </cell>
        </row>
        <row r="28">
          <cell r="C28">
            <v>104</v>
          </cell>
        </row>
        <row r="29">
          <cell r="C29">
            <v>57</v>
          </cell>
        </row>
        <row r="30">
          <cell r="C30">
            <v>54</v>
          </cell>
        </row>
        <row r="31">
          <cell r="C31">
            <v>47</v>
          </cell>
        </row>
        <row r="32">
          <cell r="C32">
            <v>159</v>
          </cell>
        </row>
        <row r="34">
          <cell r="D34">
            <v>105</v>
          </cell>
        </row>
        <row r="35">
          <cell r="D35">
            <v>55</v>
          </cell>
        </row>
        <row r="36">
          <cell r="D36">
            <v>50</v>
          </cell>
        </row>
        <row r="37">
          <cell r="D37">
            <v>112</v>
          </cell>
        </row>
        <row r="38">
          <cell r="D38">
            <v>129</v>
          </cell>
        </row>
        <row r="67">
          <cell r="C67">
            <v>323.5</v>
          </cell>
        </row>
        <row r="74">
          <cell r="D74">
            <v>330</v>
          </cell>
        </row>
        <row r="100">
          <cell r="C100">
            <v>155</v>
          </cell>
        </row>
        <row r="103">
          <cell r="D103">
            <v>62</v>
          </cell>
        </row>
        <row r="104">
          <cell r="D104">
            <v>17</v>
          </cell>
        </row>
        <row r="134">
          <cell r="C134">
            <v>1</v>
          </cell>
        </row>
        <row r="138">
          <cell r="D138">
            <v>1</v>
          </cell>
        </row>
        <row r="159">
          <cell r="C159">
            <v>40</v>
          </cell>
        </row>
        <row r="165">
          <cell r="D165">
            <v>6</v>
          </cell>
        </row>
        <row r="171">
          <cell r="D171">
            <v>21</v>
          </cell>
        </row>
        <row r="258">
          <cell r="C258">
            <v>124</v>
          </cell>
        </row>
        <row r="264">
          <cell r="D264">
            <v>0</v>
          </cell>
        </row>
        <row r="267">
          <cell r="D267">
            <v>6</v>
          </cell>
        </row>
        <row r="269">
          <cell r="D269">
            <v>176</v>
          </cell>
        </row>
        <row r="270">
          <cell r="D270">
            <v>451</v>
          </cell>
        </row>
      </sheetData>
      <sheetData sheetId="15">
        <row r="27">
          <cell r="C27">
            <v>47</v>
          </cell>
        </row>
        <row r="28">
          <cell r="C28">
            <v>61</v>
          </cell>
        </row>
        <row r="29">
          <cell r="C29">
            <v>30</v>
          </cell>
        </row>
        <row r="30">
          <cell r="C30">
            <v>27</v>
          </cell>
        </row>
        <row r="31">
          <cell r="C31">
            <v>21</v>
          </cell>
        </row>
        <row r="32">
          <cell r="C32">
            <v>46</v>
          </cell>
        </row>
        <row r="34">
          <cell r="D34">
            <v>92</v>
          </cell>
        </row>
        <row r="35">
          <cell r="D35">
            <v>32</v>
          </cell>
        </row>
        <row r="36">
          <cell r="D36">
            <v>27</v>
          </cell>
        </row>
        <row r="37">
          <cell r="D37">
            <v>55</v>
          </cell>
        </row>
        <row r="38">
          <cell r="D38">
            <v>45</v>
          </cell>
        </row>
        <row r="100">
          <cell r="C100">
            <v>93</v>
          </cell>
        </row>
        <row r="103">
          <cell r="D103">
            <v>30</v>
          </cell>
        </row>
        <row r="104">
          <cell r="D104">
            <v>16</v>
          </cell>
        </row>
        <row r="134">
          <cell r="C134">
            <v>1</v>
          </cell>
        </row>
        <row r="138">
          <cell r="D138">
            <v>1</v>
          </cell>
        </row>
        <row r="159">
          <cell r="C159">
            <v>69</v>
          </cell>
        </row>
        <row r="165">
          <cell r="D165">
            <v>12</v>
          </cell>
        </row>
        <row r="171">
          <cell r="D171">
            <v>57</v>
          </cell>
        </row>
        <row r="258">
          <cell r="C258">
            <v>140</v>
          </cell>
        </row>
        <row r="267">
          <cell r="D267">
            <v>15</v>
          </cell>
        </row>
        <row r="269">
          <cell r="D269">
            <v>200</v>
          </cell>
        </row>
        <row r="270">
          <cell r="D270">
            <v>251</v>
          </cell>
        </row>
      </sheetData>
      <sheetData sheetId="16">
        <row r="27">
          <cell r="C27">
            <v>56</v>
          </cell>
        </row>
        <row r="28">
          <cell r="C28">
            <v>114</v>
          </cell>
        </row>
        <row r="29">
          <cell r="C29">
            <v>51</v>
          </cell>
        </row>
        <row r="30">
          <cell r="C30">
            <v>61</v>
          </cell>
        </row>
        <row r="31">
          <cell r="C31">
            <v>74</v>
          </cell>
        </row>
        <row r="32">
          <cell r="C32">
            <v>124</v>
          </cell>
        </row>
        <row r="34">
          <cell r="D34">
            <v>108</v>
          </cell>
        </row>
        <row r="35">
          <cell r="D35">
            <v>61</v>
          </cell>
        </row>
        <row r="36">
          <cell r="D36">
            <v>53</v>
          </cell>
        </row>
        <row r="37">
          <cell r="D37">
            <v>112</v>
          </cell>
        </row>
        <row r="38">
          <cell r="D38">
            <v>132</v>
          </cell>
        </row>
        <row r="100">
          <cell r="C100">
            <v>156</v>
          </cell>
        </row>
        <row r="103">
          <cell r="D103">
            <v>70</v>
          </cell>
        </row>
        <row r="104">
          <cell r="D104">
            <v>8</v>
          </cell>
        </row>
        <row r="134">
          <cell r="C134">
            <v>1</v>
          </cell>
        </row>
        <row r="138">
          <cell r="D138">
            <v>1</v>
          </cell>
        </row>
        <row r="146">
          <cell r="C146">
            <v>1</v>
          </cell>
        </row>
        <row r="153">
          <cell r="D153">
            <v>1</v>
          </cell>
        </row>
        <row r="159">
          <cell r="C159">
            <v>29</v>
          </cell>
        </row>
        <row r="165">
          <cell r="D165">
            <v>6</v>
          </cell>
        </row>
        <row r="171">
          <cell r="D171">
            <v>18</v>
          </cell>
        </row>
        <row r="258">
          <cell r="C258">
            <v>113</v>
          </cell>
        </row>
        <row r="267">
          <cell r="D267">
            <v>6</v>
          </cell>
        </row>
        <row r="269">
          <cell r="D269">
            <v>142</v>
          </cell>
        </row>
        <row r="270">
          <cell r="D270">
            <v>466</v>
          </cell>
        </row>
      </sheetData>
      <sheetData sheetId="17">
        <row r="27">
          <cell r="C27">
            <v>81</v>
          </cell>
        </row>
        <row r="28">
          <cell r="C28">
            <v>159</v>
          </cell>
        </row>
        <row r="29">
          <cell r="C29">
            <v>84</v>
          </cell>
        </row>
        <row r="30">
          <cell r="C30">
            <v>90</v>
          </cell>
        </row>
        <row r="31">
          <cell r="C31">
            <v>111</v>
          </cell>
        </row>
        <row r="32">
          <cell r="C32">
            <v>187</v>
          </cell>
        </row>
        <row r="34">
          <cell r="D34">
            <v>145</v>
          </cell>
        </row>
        <row r="35">
          <cell r="D35">
            <v>79</v>
          </cell>
        </row>
        <row r="36">
          <cell r="D36">
            <v>81</v>
          </cell>
        </row>
        <row r="37">
          <cell r="D37">
            <v>175</v>
          </cell>
        </row>
        <row r="38">
          <cell r="D38">
            <v>220</v>
          </cell>
        </row>
        <row r="66">
          <cell r="C66">
            <v>226.4</v>
          </cell>
        </row>
        <row r="74">
          <cell r="D74">
            <v>217.8</v>
          </cell>
        </row>
        <row r="75">
          <cell r="D75">
            <v>217.8</v>
          </cell>
        </row>
        <row r="100">
          <cell r="C100">
            <v>28.66</v>
          </cell>
        </row>
        <row r="101">
          <cell r="C101">
            <v>323</v>
          </cell>
        </row>
        <row r="104">
          <cell r="D104">
            <v>13</v>
          </cell>
        </row>
        <row r="105">
          <cell r="D105">
            <v>144</v>
          </cell>
        </row>
        <row r="106">
          <cell r="D106">
            <v>78</v>
          </cell>
        </row>
        <row r="107">
          <cell r="D107">
            <v>80</v>
          </cell>
        </row>
        <row r="134">
          <cell r="C134">
            <v>1</v>
          </cell>
        </row>
        <row r="138">
          <cell r="D138">
            <v>0</v>
          </cell>
        </row>
        <row r="146">
          <cell r="C146">
            <v>4</v>
          </cell>
        </row>
        <row r="153">
          <cell r="D153">
            <v>3</v>
          </cell>
        </row>
        <row r="159">
          <cell r="C159">
            <v>45</v>
          </cell>
        </row>
        <row r="165">
          <cell r="D165">
            <v>2</v>
          </cell>
        </row>
        <row r="171">
          <cell r="D171">
            <v>19</v>
          </cell>
        </row>
        <row r="258">
          <cell r="C258">
            <v>197</v>
          </cell>
        </row>
        <row r="267">
          <cell r="D267">
            <v>8</v>
          </cell>
        </row>
        <row r="269">
          <cell r="D269">
            <v>265</v>
          </cell>
        </row>
        <row r="270">
          <cell r="D270">
            <v>700</v>
          </cell>
        </row>
      </sheetData>
      <sheetData sheetId="18">
        <row r="27">
          <cell r="C27">
            <v>19</v>
          </cell>
        </row>
        <row r="28">
          <cell r="C28">
            <v>34</v>
          </cell>
        </row>
        <row r="29">
          <cell r="C29">
            <v>28</v>
          </cell>
        </row>
        <row r="30">
          <cell r="C30">
            <v>30</v>
          </cell>
        </row>
        <row r="31">
          <cell r="C31">
            <v>25</v>
          </cell>
        </row>
        <row r="32">
          <cell r="C32">
            <v>49</v>
          </cell>
        </row>
        <row r="34">
          <cell r="D34">
            <v>29</v>
          </cell>
        </row>
        <row r="35">
          <cell r="D35">
            <v>14</v>
          </cell>
        </row>
        <row r="36">
          <cell r="D36">
            <v>20</v>
          </cell>
        </row>
        <row r="37">
          <cell r="D37">
            <v>57</v>
          </cell>
        </row>
        <row r="38">
          <cell r="D38">
            <v>52</v>
          </cell>
        </row>
        <row r="49">
          <cell r="C49">
            <v>18</v>
          </cell>
        </row>
        <row r="50">
          <cell r="C50">
            <v>23</v>
          </cell>
        </row>
        <row r="52">
          <cell r="D52">
            <v>36</v>
          </cell>
        </row>
        <row r="53">
          <cell r="D53">
            <v>9</v>
          </cell>
        </row>
        <row r="100">
          <cell r="C100">
            <v>30</v>
          </cell>
        </row>
        <row r="101">
          <cell r="C101">
            <v>60</v>
          </cell>
        </row>
        <row r="103">
          <cell r="D103">
            <v>5</v>
          </cell>
        </row>
        <row r="104">
          <cell r="D104">
            <v>10</v>
          </cell>
        </row>
        <row r="105">
          <cell r="D105">
            <v>24</v>
          </cell>
        </row>
        <row r="106">
          <cell r="D106">
            <v>12</v>
          </cell>
        </row>
        <row r="107">
          <cell r="D107">
            <v>13</v>
          </cell>
        </row>
        <row r="134">
          <cell r="C134">
            <v>11</v>
          </cell>
        </row>
        <row r="138">
          <cell r="D138">
            <v>10</v>
          </cell>
        </row>
        <row r="146">
          <cell r="C146">
            <v>52</v>
          </cell>
        </row>
        <row r="151">
          <cell r="D151">
            <v>53</v>
          </cell>
        </row>
        <row r="157">
          <cell r="C157">
            <v>163</v>
          </cell>
        </row>
        <row r="163">
          <cell r="D163">
            <v>154</v>
          </cell>
        </row>
        <row r="237">
          <cell r="C237">
            <v>19</v>
          </cell>
        </row>
        <row r="256">
          <cell r="C256">
            <v>130</v>
          </cell>
        </row>
        <row r="262">
          <cell r="D262">
            <v>0</v>
          </cell>
        </row>
        <row r="267">
          <cell r="D267">
            <v>7</v>
          </cell>
        </row>
        <row r="269">
          <cell r="D269">
            <v>212</v>
          </cell>
        </row>
        <row r="270">
          <cell r="D270">
            <v>212</v>
          </cell>
        </row>
      </sheetData>
      <sheetData sheetId="19">
        <row r="27">
          <cell r="C27">
            <v>30</v>
          </cell>
        </row>
        <row r="28">
          <cell r="C28">
            <v>56</v>
          </cell>
        </row>
        <row r="29">
          <cell r="C29">
            <v>42</v>
          </cell>
        </row>
        <row r="30">
          <cell r="C30">
            <v>46</v>
          </cell>
        </row>
        <row r="31">
          <cell r="C31">
            <v>41</v>
          </cell>
        </row>
        <row r="32">
          <cell r="C32">
            <v>116</v>
          </cell>
        </row>
        <row r="34">
          <cell r="D34">
            <v>71</v>
          </cell>
        </row>
        <row r="35">
          <cell r="D35">
            <v>23</v>
          </cell>
        </row>
        <row r="36">
          <cell r="D36">
            <v>37</v>
          </cell>
        </row>
        <row r="37">
          <cell r="D37">
            <v>86</v>
          </cell>
        </row>
        <row r="38">
          <cell r="D38">
            <v>97</v>
          </cell>
        </row>
        <row r="66">
          <cell r="C66">
            <v>151</v>
          </cell>
        </row>
        <row r="74">
          <cell r="D74">
            <v>143</v>
          </cell>
        </row>
        <row r="75">
          <cell r="D75">
            <v>143</v>
          </cell>
        </row>
        <row r="100">
          <cell r="C100">
            <v>90</v>
          </cell>
        </row>
        <row r="101">
          <cell r="C101">
            <v>128</v>
          </cell>
        </row>
        <row r="104">
          <cell r="D104">
            <v>78</v>
          </cell>
        </row>
        <row r="105">
          <cell r="D105">
            <v>71</v>
          </cell>
        </row>
        <row r="106">
          <cell r="D106">
            <v>23</v>
          </cell>
        </row>
        <row r="107">
          <cell r="D107">
            <v>37</v>
          </cell>
        </row>
        <row r="134">
          <cell r="C134">
            <v>2</v>
          </cell>
        </row>
        <row r="138">
          <cell r="D138">
            <v>2</v>
          </cell>
        </row>
        <row r="159">
          <cell r="C159">
            <v>71</v>
          </cell>
        </row>
        <row r="165">
          <cell r="D165">
            <v>29</v>
          </cell>
        </row>
        <row r="171">
          <cell r="D171">
            <v>12</v>
          </cell>
        </row>
        <row r="258">
          <cell r="C258">
            <v>236</v>
          </cell>
        </row>
        <row r="267">
          <cell r="D267">
            <v>21</v>
          </cell>
        </row>
        <row r="269">
          <cell r="D269">
            <v>234</v>
          </cell>
        </row>
        <row r="270">
          <cell r="D270">
            <v>314</v>
          </cell>
        </row>
      </sheetData>
      <sheetData sheetId="20">
        <row r="27">
          <cell r="C27">
            <v>73</v>
          </cell>
        </row>
        <row r="28">
          <cell r="C28">
            <v>154</v>
          </cell>
        </row>
        <row r="29">
          <cell r="C29">
            <v>62</v>
          </cell>
        </row>
        <row r="30">
          <cell r="C30">
            <v>70</v>
          </cell>
        </row>
        <row r="31">
          <cell r="C31">
            <v>86</v>
          </cell>
        </row>
        <row r="32">
          <cell r="C32">
            <v>184</v>
          </cell>
        </row>
        <row r="34">
          <cell r="D34">
            <v>150</v>
          </cell>
        </row>
        <row r="35">
          <cell r="D35">
            <v>77</v>
          </cell>
        </row>
        <row r="36">
          <cell r="D36">
            <v>78</v>
          </cell>
        </row>
        <row r="37">
          <cell r="D37">
            <v>137</v>
          </cell>
        </row>
        <row r="38">
          <cell r="D38">
            <v>178</v>
          </cell>
        </row>
        <row r="66">
          <cell r="C66">
            <v>62.4</v>
          </cell>
        </row>
        <row r="74">
          <cell r="D74">
            <v>83.6</v>
          </cell>
        </row>
        <row r="75">
          <cell r="D75">
            <v>83.6</v>
          </cell>
        </row>
        <row r="100">
          <cell r="C100">
            <v>223</v>
          </cell>
        </row>
        <row r="103">
          <cell r="D103">
            <v>92</v>
          </cell>
        </row>
        <row r="104">
          <cell r="D104">
            <v>20</v>
          </cell>
        </row>
        <row r="146">
          <cell r="C146">
            <v>1</v>
          </cell>
        </row>
        <row r="153">
          <cell r="D153">
            <v>1</v>
          </cell>
        </row>
        <row r="159">
          <cell r="C159">
            <v>54</v>
          </cell>
        </row>
        <row r="165">
          <cell r="D165">
            <v>9</v>
          </cell>
        </row>
        <row r="171">
          <cell r="D171">
            <v>33</v>
          </cell>
        </row>
        <row r="258">
          <cell r="C258">
            <v>167</v>
          </cell>
        </row>
        <row r="264">
          <cell r="D264">
            <v>0</v>
          </cell>
        </row>
        <row r="267">
          <cell r="D267">
            <v>6</v>
          </cell>
        </row>
        <row r="269">
          <cell r="D269">
            <v>241</v>
          </cell>
        </row>
        <row r="270">
          <cell r="D270">
            <v>620</v>
          </cell>
        </row>
      </sheetData>
      <sheetData sheetId="21">
        <row r="27">
          <cell r="C27">
            <v>103</v>
          </cell>
        </row>
        <row r="28">
          <cell r="C28">
            <v>199</v>
          </cell>
        </row>
        <row r="29">
          <cell r="C29">
            <v>97</v>
          </cell>
        </row>
        <row r="30">
          <cell r="C30">
            <v>92</v>
          </cell>
        </row>
        <row r="31">
          <cell r="C31">
            <v>118</v>
          </cell>
        </row>
        <row r="32">
          <cell r="C32">
            <v>234</v>
          </cell>
        </row>
        <row r="34">
          <cell r="D34">
            <v>203</v>
          </cell>
        </row>
        <row r="35">
          <cell r="D35">
            <v>100</v>
          </cell>
        </row>
        <row r="36">
          <cell r="D36">
            <v>99</v>
          </cell>
        </row>
        <row r="37">
          <cell r="D37">
            <v>189</v>
          </cell>
        </row>
        <row r="38">
          <cell r="D38">
            <v>231</v>
          </cell>
        </row>
        <row r="100">
          <cell r="C100">
            <v>276</v>
          </cell>
        </row>
        <row r="103">
          <cell r="D103">
            <v>118</v>
          </cell>
        </row>
        <row r="104">
          <cell r="D104">
            <v>20</v>
          </cell>
        </row>
        <row r="134">
          <cell r="C134">
            <v>7</v>
          </cell>
        </row>
        <row r="138">
          <cell r="D138">
            <v>5</v>
          </cell>
        </row>
        <row r="146">
          <cell r="C146">
            <v>3</v>
          </cell>
        </row>
        <row r="151">
          <cell r="D151">
            <v>3</v>
          </cell>
        </row>
        <row r="159">
          <cell r="C159">
            <v>124</v>
          </cell>
        </row>
        <row r="165">
          <cell r="D165">
            <v>4</v>
          </cell>
        </row>
        <row r="171">
          <cell r="D171">
            <v>90</v>
          </cell>
        </row>
        <row r="258">
          <cell r="C258">
            <v>230</v>
          </cell>
        </row>
        <row r="267">
          <cell r="D267">
            <v>25</v>
          </cell>
        </row>
        <row r="269">
          <cell r="D269">
            <v>346</v>
          </cell>
        </row>
        <row r="270">
          <cell r="D270">
            <v>822</v>
          </cell>
        </row>
      </sheetData>
      <sheetData sheetId="22">
        <row r="41">
          <cell r="C41">
            <v>128</v>
          </cell>
        </row>
        <row r="42">
          <cell r="C42">
            <v>132</v>
          </cell>
        </row>
        <row r="43">
          <cell r="C43">
            <v>280</v>
          </cell>
        </row>
        <row r="45">
          <cell r="D45">
            <v>256</v>
          </cell>
        </row>
        <row r="46">
          <cell r="D46">
            <v>280</v>
          </cell>
        </row>
        <row r="160">
          <cell r="C160">
            <v>4</v>
          </cell>
        </row>
        <row r="172">
          <cell r="D172">
            <v>4</v>
          </cell>
        </row>
        <row r="237">
          <cell r="C237">
            <v>115</v>
          </cell>
        </row>
        <row r="259">
          <cell r="C259">
            <v>79</v>
          </cell>
        </row>
        <row r="269">
          <cell r="D269">
            <v>120</v>
          </cell>
        </row>
        <row r="270">
          <cell r="D270">
            <v>536</v>
          </cell>
        </row>
      </sheetData>
      <sheetData sheetId="23">
        <row r="41">
          <cell r="C41">
            <v>120</v>
          </cell>
        </row>
        <row r="42">
          <cell r="C42">
            <v>135</v>
          </cell>
        </row>
        <row r="43">
          <cell r="C43">
            <v>261</v>
          </cell>
        </row>
        <row r="45">
          <cell r="D45">
            <v>240</v>
          </cell>
        </row>
        <row r="46">
          <cell r="D46">
            <v>281</v>
          </cell>
        </row>
        <row r="160">
          <cell r="C160">
            <v>3</v>
          </cell>
        </row>
        <row r="172">
          <cell r="D172">
            <v>3</v>
          </cell>
        </row>
        <row r="207">
          <cell r="C207">
            <v>122</v>
          </cell>
        </row>
        <row r="211">
          <cell r="D211">
            <v>124</v>
          </cell>
        </row>
        <row r="227">
          <cell r="C227">
            <v>141</v>
          </cell>
        </row>
        <row r="228">
          <cell r="D228">
            <v>142</v>
          </cell>
        </row>
        <row r="237">
          <cell r="C237">
            <v>66</v>
          </cell>
        </row>
        <row r="259">
          <cell r="C259">
            <v>42.53</v>
          </cell>
        </row>
        <row r="269">
          <cell r="D269">
            <v>144</v>
          </cell>
        </row>
        <row r="270">
          <cell r="D270">
            <v>521</v>
          </cell>
        </row>
      </sheetData>
      <sheetData sheetId="24">
        <row r="41">
          <cell r="C41">
            <v>145</v>
          </cell>
        </row>
        <row r="42">
          <cell r="C42">
            <v>174</v>
          </cell>
        </row>
        <row r="43">
          <cell r="C43">
            <v>320</v>
          </cell>
        </row>
        <row r="45">
          <cell r="D45">
            <v>250</v>
          </cell>
        </row>
        <row r="46">
          <cell r="D46">
            <v>341</v>
          </cell>
        </row>
        <row r="146">
          <cell r="C146">
            <v>1</v>
          </cell>
        </row>
        <row r="151">
          <cell r="D151">
            <v>1</v>
          </cell>
        </row>
        <row r="213">
          <cell r="C213">
            <v>36</v>
          </cell>
        </row>
        <row r="214">
          <cell r="D214">
            <v>35</v>
          </cell>
        </row>
        <row r="237">
          <cell r="C237">
            <v>248</v>
          </cell>
        </row>
        <row r="259">
          <cell r="C259">
            <v>75</v>
          </cell>
        </row>
        <row r="269">
          <cell r="D269">
            <v>140</v>
          </cell>
        </row>
        <row r="270">
          <cell r="D270">
            <v>591</v>
          </cell>
        </row>
      </sheetData>
      <sheetData sheetId="25">
        <row r="30">
          <cell r="C30">
            <v>19</v>
          </cell>
        </row>
        <row r="31">
          <cell r="C31">
            <v>23</v>
          </cell>
        </row>
        <row r="32">
          <cell r="C32">
            <v>51</v>
          </cell>
        </row>
        <row r="37">
          <cell r="D37">
            <v>19</v>
          </cell>
        </row>
        <row r="38">
          <cell r="D38">
            <v>47</v>
          </cell>
        </row>
        <row r="41">
          <cell r="C41">
            <v>141</v>
          </cell>
        </row>
        <row r="42">
          <cell r="C42">
            <v>169</v>
          </cell>
        </row>
        <row r="43">
          <cell r="C43">
            <v>298</v>
          </cell>
        </row>
        <row r="45">
          <cell r="D45">
            <v>270</v>
          </cell>
        </row>
        <row r="46">
          <cell r="D46">
            <v>346</v>
          </cell>
        </row>
        <row r="100">
          <cell r="C100">
            <v>8</v>
          </cell>
        </row>
        <row r="104">
          <cell r="D104">
            <v>4</v>
          </cell>
        </row>
        <row r="134">
          <cell r="C134">
            <v>1</v>
          </cell>
        </row>
        <row r="138">
          <cell r="D138">
            <v>1</v>
          </cell>
        </row>
        <row r="159">
          <cell r="C159">
            <v>9</v>
          </cell>
        </row>
        <row r="160">
          <cell r="C160">
            <v>3</v>
          </cell>
        </row>
        <row r="171">
          <cell r="D171">
            <v>4</v>
          </cell>
        </row>
        <row r="172">
          <cell r="D172">
            <v>1</v>
          </cell>
        </row>
        <row r="213">
          <cell r="C213">
            <v>35</v>
          </cell>
        </row>
        <row r="214">
          <cell r="D214">
            <v>32</v>
          </cell>
        </row>
        <row r="237">
          <cell r="C237">
            <v>196</v>
          </cell>
        </row>
        <row r="258">
          <cell r="C258">
            <v>14</v>
          </cell>
        </row>
        <row r="259">
          <cell r="C259">
            <v>66</v>
          </cell>
        </row>
        <row r="269">
          <cell r="D269">
            <v>160</v>
          </cell>
        </row>
        <row r="270">
          <cell r="D270">
            <v>682</v>
          </cell>
        </row>
      </sheetData>
      <sheetData sheetId="26">
        <row r="41">
          <cell r="C41">
            <v>86</v>
          </cell>
        </row>
        <row r="42">
          <cell r="C42">
            <v>64.5</v>
          </cell>
        </row>
        <row r="43">
          <cell r="C43">
            <v>75</v>
          </cell>
        </row>
        <row r="45">
          <cell r="D45">
            <v>152.5</v>
          </cell>
        </row>
        <row r="46">
          <cell r="D46">
            <v>69.5</v>
          </cell>
        </row>
        <row r="49">
          <cell r="C49">
            <v>60.1</v>
          </cell>
        </row>
        <row r="50">
          <cell r="C50">
            <v>64.2</v>
          </cell>
        </row>
        <row r="52">
          <cell r="D52">
            <v>109</v>
          </cell>
        </row>
        <row r="53">
          <cell r="D53">
            <v>16</v>
          </cell>
        </row>
        <row r="110">
          <cell r="C110">
            <v>65</v>
          </cell>
        </row>
        <row r="111">
          <cell r="D111">
            <v>71</v>
          </cell>
        </row>
        <row r="114">
          <cell r="C114">
            <v>17</v>
          </cell>
        </row>
        <row r="115">
          <cell r="D115">
            <v>12</v>
          </cell>
        </row>
        <row r="117">
          <cell r="C117">
            <v>60.1</v>
          </cell>
        </row>
        <row r="118">
          <cell r="D118">
            <v>57</v>
          </cell>
        </row>
        <row r="120">
          <cell r="C120">
            <v>47.2</v>
          </cell>
        </row>
        <row r="121">
          <cell r="D121">
            <v>56.1</v>
          </cell>
        </row>
        <row r="134">
          <cell r="C134">
            <v>2</v>
          </cell>
        </row>
        <row r="138">
          <cell r="D138">
            <v>2</v>
          </cell>
        </row>
        <row r="160">
          <cell r="C160">
            <v>33</v>
          </cell>
        </row>
        <row r="166">
          <cell r="D166">
            <v>10</v>
          </cell>
        </row>
        <row r="172">
          <cell r="D172">
            <v>20</v>
          </cell>
        </row>
        <row r="237">
          <cell r="C237">
            <v>137</v>
          </cell>
        </row>
        <row r="259">
          <cell r="C259">
            <v>13</v>
          </cell>
        </row>
        <row r="269">
          <cell r="D269">
            <v>109</v>
          </cell>
        </row>
        <row r="270">
          <cell r="D270">
            <v>275</v>
          </cell>
        </row>
      </sheetData>
      <sheetData sheetId="27">
        <row r="41">
          <cell r="C41">
            <v>134</v>
          </cell>
        </row>
        <row r="42">
          <cell r="C42">
            <v>140</v>
          </cell>
        </row>
        <row r="43">
          <cell r="C43">
            <v>285</v>
          </cell>
        </row>
        <row r="45">
          <cell r="D45">
            <v>130</v>
          </cell>
        </row>
        <row r="46">
          <cell r="D46">
            <v>430</v>
          </cell>
        </row>
        <row r="49">
          <cell r="C49">
            <v>73</v>
          </cell>
        </row>
        <row r="50">
          <cell r="C50">
            <v>13</v>
          </cell>
        </row>
        <row r="52">
          <cell r="D52">
            <v>85</v>
          </cell>
        </row>
        <row r="207">
          <cell r="C207">
            <v>161</v>
          </cell>
        </row>
        <row r="211">
          <cell r="D211">
            <v>161</v>
          </cell>
        </row>
        <row r="237">
          <cell r="C237">
            <v>286</v>
          </cell>
        </row>
        <row r="259">
          <cell r="C259">
            <v>34</v>
          </cell>
        </row>
        <row r="269">
          <cell r="D269">
            <v>135</v>
          </cell>
        </row>
        <row r="270">
          <cell r="D270">
            <v>645</v>
          </cell>
        </row>
      </sheetData>
      <sheetData sheetId="28">
        <row r="41">
          <cell r="C41">
            <v>273.8</v>
          </cell>
        </row>
        <row r="42">
          <cell r="C42">
            <v>264.7</v>
          </cell>
        </row>
        <row r="43">
          <cell r="C43">
            <v>335.6</v>
          </cell>
        </row>
        <row r="45">
          <cell r="D45">
            <v>546</v>
          </cell>
        </row>
        <row r="46">
          <cell r="D46">
            <v>334</v>
          </cell>
        </row>
        <row r="49">
          <cell r="C49">
            <v>204.2</v>
          </cell>
        </row>
        <row r="50">
          <cell r="C50">
            <v>146</v>
          </cell>
        </row>
        <row r="52">
          <cell r="D52">
            <v>314</v>
          </cell>
        </row>
        <row r="53">
          <cell r="D53">
            <v>31</v>
          </cell>
        </row>
        <row r="110">
          <cell r="C110">
            <v>329</v>
          </cell>
        </row>
        <row r="111">
          <cell r="D111">
            <v>329</v>
          </cell>
        </row>
        <row r="114">
          <cell r="C114">
            <v>85</v>
          </cell>
        </row>
        <row r="115">
          <cell r="D115">
            <v>89</v>
          </cell>
        </row>
        <row r="117">
          <cell r="C117">
            <v>63.2</v>
          </cell>
        </row>
        <row r="118">
          <cell r="D118">
            <v>35</v>
          </cell>
        </row>
        <row r="121">
          <cell r="D121">
            <v>12</v>
          </cell>
        </row>
        <row r="123">
          <cell r="C123">
            <v>212</v>
          </cell>
        </row>
        <row r="124">
          <cell r="D124">
            <v>233</v>
          </cell>
        </row>
        <row r="237">
          <cell r="C237">
            <v>650</v>
          </cell>
        </row>
        <row r="259">
          <cell r="C259">
            <v>48</v>
          </cell>
        </row>
        <row r="269">
          <cell r="D269">
            <v>318</v>
          </cell>
        </row>
        <row r="270">
          <cell r="D270">
            <v>1178</v>
          </cell>
        </row>
      </sheetData>
      <sheetData sheetId="29">
        <row r="41">
          <cell r="C41">
            <v>106</v>
          </cell>
        </row>
        <row r="42">
          <cell r="C42">
            <v>133</v>
          </cell>
        </row>
        <row r="43">
          <cell r="C43">
            <v>225</v>
          </cell>
        </row>
        <row r="45">
          <cell r="D45">
            <v>210</v>
          </cell>
        </row>
        <row r="46">
          <cell r="D46">
            <v>247</v>
          </cell>
        </row>
        <row r="49">
          <cell r="C49">
            <v>17</v>
          </cell>
        </row>
        <row r="50">
          <cell r="C50">
            <v>71</v>
          </cell>
        </row>
        <row r="52">
          <cell r="D52">
            <v>85</v>
          </cell>
        </row>
        <row r="117">
          <cell r="C117">
            <v>17</v>
          </cell>
        </row>
        <row r="118">
          <cell r="D118">
            <v>12</v>
          </cell>
        </row>
        <row r="120">
          <cell r="C120">
            <v>71</v>
          </cell>
        </row>
        <row r="121">
          <cell r="D121">
            <v>73</v>
          </cell>
        </row>
        <row r="146">
          <cell r="C146">
            <v>4</v>
          </cell>
        </row>
        <row r="151">
          <cell r="D151">
            <v>0</v>
          </cell>
        </row>
        <row r="160">
          <cell r="C160">
            <v>12</v>
          </cell>
        </row>
        <row r="166">
          <cell r="D166">
            <v>2</v>
          </cell>
        </row>
        <row r="172">
          <cell r="D172">
            <v>14</v>
          </cell>
        </row>
        <row r="237">
          <cell r="C237">
            <v>253</v>
          </cell>
        </row>
        <row r="259">
          <cell r="C259">
            <v>64</v>
          </cell>
        </row>
        <row r="269">
          <cell r="D269">
            <v>152</v>
          </cell>
        </row>
        <row r="270">
          <cell r="D270">
            <v>542</v>
          </cell>
        </row>
      </sheetData>
      <sheetData sheetId="30">
        <row r="41">
          <cell r="C41">
            <v>221</v>
          </cell>
        </row>
        <row r="42">
          <cell r="C42">
            <v>225.2</v>
          </cell>
        </row>
        <row r="43">
          <cell r="C43">
            <v>319.8</v>
          </cell>
        </row>
        <row r="45">
          <cell r="D45">
            <v>411</v>
          </cell>
        </row>
        <row r="46">
          <cell r="D46">
            <v>335</v>
          </cell>
        </row>
        <row r="49">
          <cell r="C49">
            <v>165</v>
          </cell>
        </row>
        <row r="50">
          <cell r="C50">
            <v>170.2</v>
          </cell>
        </row>
        <row r="52">
          <cell r="D52">
            <v>280</v>
          </cell>
        </row>
        <row r="53">
          <cell r="D53">
            <v>89</v>
          </cell>
        </row>
        <row r="110">
          <cell r="C110">
            <v>440</v>
          </cell>
        </row>
        <row r="111">
          <cell r="D111">
            <v>399</v>
          </cell>
        </row>
        <row r="114">
          <cell r="C114">
            <v>7</v>
          </cell>
        </row>
        <row r="115">
          <cell r="D115">
            <v>13</v>
          </cell>
        </row>
        <row r="117">
          <cell r="C117">
            <v>14</v>
          </cell>
        </row>
        <row r="118">
          <cell r="D118">
            <v>17</v>
          </cell>
        </row>
        <row r="120">
          <cell r="C120">
            <v>2.2</v>
          </cell>
        </row>
        <row r="121">
          <cell r="D121">
            <v>6</v>
          </cell>
        </row>
        <row r="123">
          <cell r="C123">
            <v>312</v>
          </cell>
        </row>
        <row r="124">
          <cell r="D124">
            <v>333</v>
          </cell>
        </row>
        <row r="160">
          <cell r="C160">
            <v>61</v>
          </cell>
        </row>
        <row r="166">
          <cell r="D166">
            <v>6</v>
          </cell>
        </row>
        <row r="172">
          <cell r="D172">
            <v>55</v>
          </cell>
        </row>
        <row r="237">
          <cell r="C237">
            <v>671</v>
          </cell>
        </row>
        <row r="259">
          <cell r="C259">
            <v>21</v>
          </cell>
        </row>
        <row r="269">
          <cell r="D269">
            <v>313</v>
          </cell>
        </row>
        <row r="270">
          <cell r="D270">
            <v>1088</v>
          </cell>
        </row>
      </sheetData>
      <sheetData sheetId="31">
        <row r="41">
          <cell r="C41">
            <v>175</v>
          </cell>
        </row>
        <row r="42">
          <cell r="C42">
            <v>207.2</v>
          </cell>
        </row>
        <row r="43">
          <cell r="C43">
            <v>213.8</v>
          </cell>
        </row>
        <row r="45">
          <cell r="D45">
            <v>329</v>
          </cell>
        </row>
        <row r="46">
          <cell r="D46">
            <v>220.2</v>
          </cell>
        </row>
        <row r="49">
          <cell r="C49">
            <v>130</v>
          </cell>
        </row>
        <row r="50">
          <cell r="C50">
            <v>141</v>
          </cell>
        </row>
        <row r="52">
          <cell r="D52">
            <v>250</v>
          </cell>
        </row>
        <row r="53">
          <cell r="D53">
            <v>44</v>
          </cell>
        </row>
        <row r="114">
          <cell r="C114">
            <v>7.8</v>
          </cell>
        </row>
        <row r="115">
          <cell r="D115">
            <v>13.42</v>
          </cell>
        </row>
        <row r="117">
          <cell r="C117">
            <v>55.03</v>
          </cell>
        </row>
        <row r="118">
          <cell r="D118">
            <v>56.5</v>
          </cell>
        </row>
        <row r="120">
          <cell r="C120">
            <v>57.99</v>
          </cell>
        </row>
        <row r="121">
          <cell r="D121">
            <v>49.29</v>
          </cell>
        </row>
        <row r="123">
          <cell r="C123">
            <v>185</v>
          </cell>
        </row>
        <row r="124">
          <cell r="D124">
            <v>218</v>
          </cell>
        </row>
        <row r="237">
          <cell r="C237">
            <v>350</v>
          </cell>
        </row>
        <row r="259">
          <cell r="C259">
            <v>9</v>
          </cell>
        </row>
        <row r="269">
          <cell r="D269">
            <v>144</v>
          </cell>
        </row>
        <row r="270">
          <cell r="D270">
            <v>833</v>
          </cell>
        </row>
      </sheetData>
      <sheetData sheetId="32">
        <row r="41">
          <cell r="C41">
            <v>131</v>
          </cell>
        </row>
        <row r="42">
          <cell r="C42">
            <v>137</v>
          </cell>
        </row>
        <row r="43">
          <cell r="C43">
            <v>115</v>
          </cell>
        </row>
        <row r="45">
          <cell r="D45">
            <v>216</v>
          </cell>
        </row>
        <row r="46">
          <cell r="D46">
            <v>121</v>
          </cell>
        </row>
        <row r="50">
          <cell r="C50">
            <v>252</v>
          </cell>
        </row>
        <row r="52">
          <cell r="D52">
            <v>230</v>
          </cell>
        </row>
        <row r="53">
          <cell r="D53">
            <v>48</v>
          </cell>
        </row>
        <row r="110">
          <cell r="C110">
            <v>99</v>
          </cell>
        </row>
        <row r="111">
          <cell r="D111">
            <v>123</v>
          </cell>
        </row>
        <row r="114">
          <cell r="C114">
            <v>31</v>
          </cell>
        </row>
        <row r="115">
          <cell r="D115">
            <v>41</v>
          </cell>
        </row>
        <row r="117">
          <cell r="C117">
            <v>39</v>
          </cell>
        </row>
        <row r="118">
          <cell r="D118">
            <v>51</v>
          </cell>
        </row>
        <row r="120">
          <cell r="C120">
            <v>23.31</v>
          </cell>
        </row>
        <row r="121">
          <cell r="D121">
            <v>22.58</v>
          </cell>
        </row>
        <row r="123">
          <cell r="C123">
            <v>161</v>
          </cell>
        </row>
        <row r="124">
          <cell r="D124">
            <v>150</v>
          </cell>
        </row>
        <row r="160">
          <cell r="C160">
            <v>41</v>
          </cell>
        </row>
        <row r="172">
          <cell r="D172">
            <v>39</v>
          </cell>
        </row>
        <row r="237">
          <cell r="C237">
            <v>332</v>
          </cell>
        </row>
        <row r="259">
          <cell r="C259">
            <v>28.07</v>
          </cell>
        </row>
        <row r="262">
          <cell r="D262">
            <v>0</v>
          </cell>
        </row>
        <row r="269">
          <cell r="D269">
            <v>265</v>
          </cell>
        </row>
        <row r="270">
          <cell r="D270">
            <v>615</v>
          </cell>
        </row>
      </sheetData>
      <sheetData sheetId="33">
        <row r="83">
          <cell r="C83">
            <v>683</v>
          </cell>
        </row>
        <row r="84">
          <cell r="C84">
            <v>141</v>
          </cell>
        </row>
        <row r="96">
          <cell r="D96">
            <v>750</v>
          </cell>
        </row>
        <row r="233">
          <cell r="D233">
            <v>142</v>
          </cell>
        </row>
        <row r="260">
          <cell r="C260">
            <v>230</v>
          </cell>
        </row>
        <row r="275">
          <cell r="D275">
            <v>750</v>
          </cell>
        </row>
      </sheetData>
      <sheetData sheetId="34">
        <row r="174">
          <cell r="C174">
            <v>4.55</v>
          </cell>
        </row>
        <row r="175">
          <cell r="D175">
            <v>2.28</v>
          </cell>
        </row>
        <row r="177">
          <cell r="C177">
            <v>2.7</v>
          </cell>
        </row>
        <row r="178">
          <cell r="D178">
            <v>1.36</v>
          </cell>
        </row>
      </sheetData>
      <sheetData sheetId="36">
        <row r="174">
          <cell r="C174">
            <v>16.8</v>
          </cell>
        </row>
        <row r="175">
          <cell r="D175">
            <v>8</v>
          </cell>
        </row>
      </sheetData>
      <sheetData sheetId="38">
        <row r="9">
          <cell r="M9">
            <v>63410000</v>
          </cell>
        </row>
        <row r="10">
          <cell r="M10">
            <v>309570000</v>
          </cell>
        </row>
        <row r="30">
          <cell r="M30">
            <v>75055000</v>
          </cell>
        </row>
        <row r="31">
          <cell r="M31">
            <v>103530000</v>
          </cell>
        </row>
      </sheetData>
      <sheetData sheetId="39">
        <row r="11">
          <cell r="M11">
            <v>7650000</v>
          </cell>
        </row>
        <row r="12">
          <cell r="M12">
            <v>16234000</v>
          </cell>
        </row>
        <row r="13">
          <cell r="M13">
            <v>10417812.5</v>
          </cell>
        </row>
        <row r="14">
          <cell r="M14">
            <v>10030000</v>
          </cell>
        </row>
        <row r="15">
          <cell r="M15">
            <v>13884750.000000002</v>
          </cell>
        </row>
        <row r="16">
          <cell r="M16">
            <v>29920000</v>
          </cell>
        </row>
        <row r="32">
          <cell r="M32">
            <v>6787857.571428571</v>
          </cell>
        </row>
        <row r="33">
          <cell r="M33">
            <v>3551000</v>
          </cell>
        </row>
        <row r="34">
          <cell r="M34">
            <v>5566437.249999999</v>
          </cell>
        </row>
        <row r="35">
          <cell r="M35">
            <v>9010000.173913045</v>
          </cell>
        </row>
        <row r="36">
          <cell r="M36">
            <v>14637000</v>
          </cell>
        </row>
        <row r="42">
          <cell r="M42">
            <v>344080</v>
          </cell>
        </row>
        <row r="45">
          <cell r="M45">
            <v>114240</v>
          </cell>
        </row>
        <row r="46">
          <cell r="M46">
            <v>1499642.4285714284</v>
          </cell>
        </row>
        <row r="47">
          <cell r="M47">
            <v>765000</v>
          </cell>
        </row>
        <row r="48">
          <cell r="M48">
            <v>1105000</v>
          </cell>
        </row>
      </sheetData>
      <sheetData sheetId="40">
        <row r="41">
          <cell r="M41">
            <v>7310000</v>
          </cell>
        </row>
      </sheetData>
      <sheetData sheetId="41">
        <row r="11">
          <cell r="M11">
            <v>5610000</v>
          </cell>
        </row>
        <row r="12">
          <cell r="M12">
            <v>15128000</v>
          </cell>
        </row>
        <row r="13">
          <cell r="M13">
            <v>12701125</v>
          </cell>
        </row>
        <row r="14">
          <cell r="M14">
            <v>8840000</v>
          </cell>
        </row>
        <row r="15">
          <cell r="M15">
            <v>11989250</v>
          </cell>
        </row>
        <row r="16">
          <cell r="M16">
            <v>27540000</v>
          </cell>
        </row>
        <row r="32">
          <cell r="M32">
            <v>6411428.571428571</v>
          </cell>
        </row>
        <row r="33">
          <cell r="M33">
            <v>4392000</v>
          </cell>
        </row>
        <row r="34">
          <cell r="M34">
            <v>3839875</v>
          </cell>
        </row>
        <row r="35">
          <cell r="M35">
            <v>9337065.217391305</v>
          </cell>
        </row>
        <row r="36">
          <cell r="M36">
            <v>13389200</v>
          </cell>
        </row>
        <row r="44">
          <cell r="M44">
            <v>340000</v>
          </cell>
        </row>
        <row r="45">
          <cell r="M45">
            <v>141440.00000000003</v>
          </cell>
        </row>
        <row r="46">
          <cell r="M46">
            <v>1442571.4285714289</v>
          </cell>
        </row>
      </sheetData>
      <sheetData sheetId="42">
        <row r="11">
          <cell r="M11">
            <v>5780000</v>
          </cell>
        </row>
        <row r="12">
          <cell r="M12">
            <v>11834000</v>
          </cell>
        </row>
        <row r="13">
          <cell r="M13">
            <v>8418187.499999998</v>
          </cell>
        </row>
        <row r="14">
          <cell r="M14">
            <v>5440000</v>
          </cell>
        </row>
        <row r="15">
          <cell r="M15">
            <v>7378000</v>
          </cell>
        </row>
        <row r="16">
          <cell r="M16">
            <v>17850000</v>
          </cell>
        </row>
        <row r="32">
          <cell r="M32">
            <v>5439999.999999999</v>
          </cell>
        </row>
        <row r="33">
          <cell r="M33">
            <v>3050000</v>
          </cell>
        </row>
        <row r="34">
          <cell r="M34">
            <v>3470656.25</v>
          </cell>
        </row>
        <row r="35">
          <cell r="M35">
            <v>6014673.913043478</v>
          </cell>
        </row>
        <row r="36">
          <cell r="M36">
            <v>8601999.999999998</v>
          </cell>
        </row>
        <row r="44">
          <cell r="M44">
            <v>510000</v>
          </cell>
        </row>
        <row r="45">
          <cell r="M45">
            <v>43520</v>
          </cell>
        </row>
      </sheetData>
      <sheetData sheetId="43">
        <row r="11">
          <cell r="M11">
            <v>5950000</v>
          </cell>
        </row>
        <row r="12">
          <cell r="M12">
            <v>13542000</v>
          </cell>
        </row>
        <row r="13">
          <cell r="M13">
            <v>10485812.5</v>
          </cell>
        </row>
        <row r="14">
          <cell r="M14">
            <v>6120000</v>
          </cell>
        </row>
        <row r="15">
          <cell r="M15">
            <v>9222500</v>
          </cell>
        </row>
        <row r="16">
          <cell r="M16">
            <v>18870000</v>
          </cell>
        </row>
        <row r="32">
          <cell r="M32">
            <v>5585714.285714285</v>
          </cell>
        </row>
        <row r="33">
          <cell r="M33">
            <v>3416000</v>
          </cell>
        </row>
        <row r="34">
          <cell r="M34">
            <v>3987562.4999999995</v>
          </cell>
        </row>
        <row r="35">
          <cell r="M35">
            <v>7103043.478260871</v>
          </cell>
        </row>
        <row r="36">
          <cell r="M36">
            <v>10098000.000000002</v>
          </cell>
        </row>
        <row r="44">
          <cell r="M44">
            <v>170000</v>
          </cell>
        </row>
        <row r="45">
          <cell r="M45">
            <v>48960</v>
          </cell>
        </row>
        <row r="46">
          <cell r="M46">
            <v>1245857.142857143</v>
          </cell>
        </row>
      </sheetData>
      <sheetData sheetId="44">
        <row r="11">
          <cell r="M11">
            <v>4930000</v>
          </cell>
        </row>
        <row r="12">
          <cell r="M12">
            <v>12688000</v>
          </cell>
        </row>
        <row r="13">
          <cell r="M13">
            <v>8418187.499999998</v>
          </cell>
        </row>
        <row r="14">
          <cell r="M14">
            <v>6120000</v>
          </cell>
        </row>
        <row r="15">
          <cell r="M15">
            <v>6192250</v>
          </cell>
        </row>
        <row r="16">
          <cell r="M16">
            <v>23800000</v>
          </cell>
        </row>
        <row r="32">
          <cell r="M32">
            <v>5100000</v>
          </cell>
        </row>
        <row r="33">
          <cell r="M33">
            <v>3355000</v>
          </cell>
        </row>
        <row r="34">
          <cell r="M34">
            <v>3692187.5</v>
          </cell>
        </row>
        <row r="35">
          <cell r="M35">
            <v>6415652.173913044</v>
          </cell>
        </row>
        <row r="36">
          <cell r="M36">
            <v>9649200</v>
          </cell>
        </row>
        <row r="42">
          <cell r="M42">
            <v>2244000</v>
          </cell>
        </row>
        <row r="44">
          <cell r="M44">
            <v>510000</v>
          </cell>
        </row>
        <row r="45">
          <cell r="M45">
            <v>92480</v>
          </cell>
        </row>
      </sheetData>
      <sheetData sheetId="45">
        <row r="11">
          <cell r="M11">
            <v>4590000</v>
          </cell>
        </row>
        <row r="12">
          <cell r="M12">
            <v>7442000</v>
          </cell>
        </row>
        <row r="13">
          <cell r="M13">
            <v>4430624.999999999</v>
          </cell>
        </row>
        <row r="14">
          <cell r="M14">
            <v>3060000</v>
          </cell>
        </row>
        <row r="15">
          <cell r="M15">
            <v>2766750.0000000005</v>
          </cell>
        </row>
        <row r="16">
          <cell r="M16">
            <v>6800000</v>
          </cell>
        </row>
        <row r="32">
          <cell r="M32">
            <v>4468571.428571428</v>
          </cell>
        </row>
        <row r="33">
          <cell r="M33">
            <v>1952000</v>
          </cell>
        </row>
        <row r="34">
          <cell r="M34">
            <v>1993781.2499999998</v>
          </cell>
        </row>
        <row r="35">
          <cell r="M35">
            <v>3150543.4782608696</v>
          </cell>
        </row>
        <row r="36">
          <cell r="M36">
            <v>3366000</v>
          </cell>
        </row>
        <row r="44">
          <cell r="M44">
            <v>255000</v>
          </cell>
        </row>
        <row r="45">
          <cell r="M45">
            <v>87040</v>
          </cell>
        </row>
      </sheetData>
      <sheetData sheetId="46">
        <row r="11">
          <cell r="M11">
            <v>5440000</v>
          </cell>
        </row>
        <row r="12">
          <cell r="M12">
            <v>13908000</v>
          </cell>
        </row>
        <row r="13">
          <cell r="M13">
            <v>7532062.5</v>
          </cell>
        </row>
        <row r="14">
          <cell r="M14">
            <v>6970000</v>
          </cell>
        </row>
        <row r="15">
          <cell r="M15">
            <v>9749500</v>
          </cell>
        </row>
        <row r="16">
          <cell r="M16">
            <v>18530000</v>
          </cell>
        </row>
        <row r="32">
          <cell r="M32">
            <v>5245714.285714286</v>
          </cell>
        </row>
        <row r="33">
          <cell r="M33">
            <v>3721000</v>
          </cell>
        </row>
        <row r="34">
          <cell r="M34">
            <v>3913718.75</v>
          </cell>
        </row>
        <row r="35">
          <cell r="M35">
            <v>6415652.173913044</v>
          </cell>
        </row>
        <row r="36">
          <cell r="M36">
            <v>9873600</v>
          </cell>
        </row>
        <row r="44">
          <cell r="M44">
            <v>595000</v>
          </cell>
        </row>
        <row r="45">
          <cell r="M45">
            <v>43520</v>
          </cell>
        </row>
      </sheetData>
      <sheetData sheetId="47">
        <row r="11">
          <cell r="M11">
            <v>7820000</v>
          </cell>
        </row>
        <row r="12">
          <cell r="M12">
            <v>19398000</v>
          </cell>
        </row>
        <row r="13">
          <cell r="M13">
            <v>12405750</v>
          </cell>
        </row>
        <row r="14">
          <cell r="M14">
            <v>10370000</v>
          </cell>
        </row>
        <row r="15">
          <cell r="M15">
            <v>14624249.999999998</v>
          </cell>
        </row>
        <row r="16">
          <cell r="M16">
            <v>28050000</v>
          </cell>
        </row>
        <row r="32">
          <cell r="M32">
            <v>7042857.142857143</v>
          </cell>
        </row>
        <row r="33">
          <cell r="M33">
            <v>4819000.000000001</v>
          </cell>
        </row>
        <row r="34">
          <cell r="M34">
            <v>5981343.75</v>
          </cell>
        </row>
        <row r="35">
          <cell r="M35">
            <v>10024456.52173913</v>
          </cell>
        </row>
        <row r="36">
          <cell r="M36">
            <v>16456000</v>
          </cell>
        </row>
        <row r="42">
          <cell r="M42">
            <v>1481040</v>
          </cell>
        </row>
        <row r="45">
          <cell r="M45">
            <v>70720.00000000001</v>
          </cell>
        </row>
        <row r="46">
          <cell r="M46">
            <v>1573714.2857142857</v>
          </cell>
        </row>
        <row r="47">
          <cell r="M47">
            <v>1020000</v>
          </cell>
        </row>
        <row r="48">
          <cell r="M48">
            <v>1190000</v>
          </cell>
        </row>
      </sheetData>
      <sheetData sheetId="48">
        <row r="11">
          <cell r="M11">
            <v>1870000</v>
          </cell>
        </row>
        <row r="12">
          <cell r="M12">
            <v>4148000</v>
          </cell>
        </row>
        <row r="13">
          <cell r="M13">
            <v>4135249.9999999995</v>
          </cell>
        </row>
        <row r="14">
          <cell r="M14">
            <v>3400000</v>
          </cell>
        </row>
        <row r="15">
          <cell r="M15">
            <v>3293750</v>
          </cell>
        </row>
        <row r="16">
          <cell r="M16">
            <v>7310000</v>
          </cell>
        </row>
        <row r="20">
          <cell r="M20">
            <v>2210000</v>
          </cell>
        </row>
        <row r="21">
          <cell r="M21">
            <v>3060000</v>
          </cell>
        </row>
        <row r="32">
          <cell r="M32">
            <v>1408571.4285714284</v>
          </cell>
        </row>
        <row r="33">
          <cell r="M33">
            <v>854000</v>
          </cell>
        </row>
        <row r="34">
          <cell r="M34">
            <v>1476875</v>
          </cell>
        </row>
        <row r="35">
          <cell r="M35">
            <v>3265108.695652174</v>
          </cell>
        </row>
        <row r="36">
          <cell r="M36">
            <v>3889600.0000000005</v>
          </cell>
        </row>
        <row r="39">
          <cell r="M39">
            <v>2218500</v>
          </cell>
        </row>
        <row r="40">
          <cell r="M40">
            <v>597288.4615384615</v>
          </cell>
        </row>
        <row r="44">
          <cell r="M44">
            <v>0</v>
          </cell>
        </row>
        <row r="45">
          <cell r="M45">
            <v>54400</v>
          </cell>
        </row>
        <row r="46">
          <cell r="M46">
            <v>262285.71428571426</v>
          </cell>
        </row>
        <row r="47">
          <cell r="M47">
            <v>170000</v>
          </cell>
        </row>
        <row r="48">
          <cell r="M48">
            <v>170000</v>
          </cell>
        </row>
      </sheetData>
      <sheetData sheetId="49">
        <row r="11">
          <cell r="M11">
            <v>2890000</v>
          </cell>
        </row>
        <row r="12">
          <cell r="M12">
            <v>6832000</v>
          </cell>
        </row>
        <row r="13">
          <cell r="M13">
            <v>6202875</v>
          </cell>
        </row>
        <row r="14">
          <cell r="M14">
            <v>5270000</v>
          </cell>
        </row>
        <row r="15">
          <cell r="M15">
            <v>5401749.999999999</v>
          </cell>
        </row>
        <row r="16">
          <cell r="M16">
            <v>17340000</v>
          </cell>
        </row>
        <row r="32">
          <cell r="M32">
            <v>3448571.4285714286</v>
          </cell>
        </row>
        <row r="33">
          <cell r="M33">
            <v>1403000</v>
          </cell>
        </row>
        <row r="34">
          <cell r="M34">
            <v>2732218.75</v>
          </cell>
        </row>
        <row r="35">
          <cell r="M35">
            <v>4926304.347826087</v>
          </cell>
        </row>
        <row r="36">
          <cell r="M36">
            <v>7255600</v>
          </cell>
        </row>
        <row r="42">
          <cell r="M42">
            <v>972400.0000000001</v>
          </cell>
        </row>
        <row r="45">
          <cell r="M45">
            <v>424320</v>
          </cell>
        </row>
        <row r="46">
          <cell r="M46">
            <v>775928.5714285715</v>
          </cell>
        </row>
        <row r="47">
          <cell r="M47">
            <v>340000</v>
          </cell>
        </row>
        <row r="48">
          <cell r="M48">
            <v>510000</v>
          </cell>
        </row>
      </sheetData>
      <sheetData sheetId="50">
        <row r="11">
          <cell r="M11">
            <v>7140000</v>
          </cell>
        </row>
        <row r="12">
          <cell r="M12">
            <v>18787999.999999996</v>
          </cell>
        </row>
        <row r="13">
          <cell r="M13">
            <v>9156624.999999998</v>
          </cell>
        </row>
        <row r="14">
          <cell r="M14">
            <v>7990000</v>
          </cell>
        </row>
        <row r="15">
          <cell r="M15">
            <v>11330500</v>
          </cell>
        </row>
        <row r="16">
          <cell r="M16">
            <v>27540000</v>
          </cell>
        </row>
        <row r="32">
          <cell r="M32">
            <v>7285714.285714286</v>
          </cell>
        </row>
        <row r="33">
          <cell r="M33">
            <v>4696999.999999999</v>
          </cell>
        </row>
        <row r="34">
          <cell r="M34">
            <v>5759812.499999999</v>
          </cell>
        </row>
        <row r="35">
          <cell r="M35">
            <v>7847717.391304348</v>
          </cell>
        </row>
        <row r="36">
          <cell r="M36">
            <v>13314400.000000002</v>
          </cell>
        </row>
        <row r="42">
          <cell r="M42">
            <v>568479.9999999999</v>
          </cell>
        </row>
        <row r="44">
          <cell r="M44">
            <v>765000</v>
          </cell>
        </row>
        <row r="45">
          <cell r="M45">
            <v>108800</v>
          </cell>
        </row>
      </sheetData>
      <sheetData sheetId="51">
        <row r="11">
          <cell r="M11">
            <v>10030000</v>
          </cell>
        </row>
        <row r="12">
          <cell r="M12">
            <v>24277999.999999996</v>
          </cell>
        </row>
        <row r="13">
          <cell r="M13">
            <v>14325687.499999998</v>
          </cell>
        </row>
        <row r="14">
          <cell r="M14">
            <v>10540000</v>
          </cell>
        </row>
        <row r="15">
          <cell r="M15">
            <v>15546500.000000002</v>
          </cell>
        </row>
        <row r="16">
          <cell r="M16">
            <v>35020000</v>
          </cell>
        </row>
        <row r="32">
          <cell r="M32">
            <v>9860000</v>
          </cell>
        </row>
        <row r="33">
          <cell r="M33">
            <v>6100000</v>
          </cell>
        </row>
        <row r="34">
          <cell r="M34">
            <v>7310531.249999999</v>
          </cell>
        </row>
        <row r="35">
          <cell r="M35">
            <v>10826413.043478262</v>
          </cell>
        </row>
        <row r="36">
          <cell r="M36">
            <v>17278800.000000004</v>
          </cell>
        </row>
        <row r="44">
          <cell r="M44">
            <v>935000</v>
          </cell>
        </row>
        <row r="45">
          <cell r="M45">
            <v>108800</v>
          </cell>
        </row>
      </sheetData>
      <sheetData sheetId="52">
        <row r="17">
          <cell r="M17">
            <v>18107428.57142857</v>
          </cell>
        </row>
        <row r="18">
          <cell r="M18">
            <v>20109692.307692308</v>
          </cell>
        </row>
        <row r="19">
          <cell r="M19">
            <v>50490000</v>
          </cell>
        </row>
        <row r="37">
          <cell r="M37">
            <v>18105000</v>
          </cell>
        </row>
        <row r="38">
          <cell r="M38">
            <v>25264615.384615388</v>
          </cell>
        </row>
      </sheetData>
      <sheetData sheetId="53">
        <row r="17">
          <cell r="M17">
            <v>16975714.285714287</v>
          </cell>
        </row>
        <row r="18">
          <cell r="M18">
            <v>20566730.76923077</v>
          </cell>
        </row>
        <row r="19">
          <cell r="M19">
            <v>47090000</v>
          </cell>
        </row>
        <row r="37">
          <cell r="M37">
            <v>17000000</v>
          </cell>
        </row>
        <row r="38">
          <cell r="M38">
            <v>25354846.153846156</v>
          </cell>
        </row>
      </sheetData>
      <sheetData sheetId="54">
        <row r="17">
          <cell r="M17">
            <v>20512321.42857143</v>
          </cell>
        </row>
        <row r="18">
          <cell r="M18">
            <v>26508230.769230768</v>
          </cell>
        </row>
        <row r="19">
          <cell r="M19">
            <v>57800000</v>
          </cell>
        </row>
        <row r="37">
          <cell r="M37">
            <v>17680000</v>
          </cell>
        </row>
        <row r="38">
          <cell r="M38">
            <v>30768692.307692304</v>
          </cell>
        </row>
      </sheetData>
      <sheetData sheetId="55">
        <row r="14">
          <cell r="M14">
            <v>2210000</v>
          </cell>
        </row>
        <row r="15">
          <cell r="M15">
            <v>3030250</v>
          </cell>
        </row>
        <row r="16">
          <cell r="M16">
            <v>7650000</v>
          </cell>
        </row>
        <row r="17">
          <cell r="M17">
            <v>19946464.285714287</v>
          </cell>
        </row>
        <row r="18">
          <cell r="M18">
            <v>25746500</v>
          </cell>
        </row>
        <row r="19">
          <cell r="M19">
            <v>53720000</v>
          </cell>
        </row>
        <row r="35">
          <cell r="M35">
            <v>1088369.5652173914</v>
          </cell>
        </row>
        <row r="36">
          <cell r="M36">
            <v>3515600</v>
          </cell>
        </row>
        <row r="37">
          <cell r="M37">
            <v>19125000</v>
          </cell>
        </row>
        <row r="38">
          <cell r="M38">
            <v>31219846.153846156</v>
          </cell>
        </row>
        <row r="45">
          <cell r="M45">
            <v>21760</v>
          </cell>
        </row>
      </sheetData>
      <sheetData sheetId="56">
        <row r="17">
          <cell r="M17">
            <v>12165928.571428573</v>
          </cell>
        </row>
        <row r="18">
          <cell r="M18">
            <v>9826326.923076922</v>
          </cell>
        </row>
        <row r="19">
          <cell r="M19">
            <v>13600000</v>
          </cell>
        </row>
        <row r="20">
          <cell r="M20">
            <v>7480000</v>
          </cell>
        </row>
        <row r="21">
          <cell r="M21">
            <v>8500000</v>
          </cell>
        </row>
        <row r="37">
          <cell r="M37">
            <v>10795000</v>
          </cell>
        </row>
        <row r="38">
          <cell r="M38">
            <v>6271038.461538461</v>
          </cell>
        </row>
        <row r="39">
          <cell r="M39">
            <v>6717124.999999999</v>
          </cell>
        </row>
        <row r="40">
          <cell r="M40">
            <v>1061846.1538461538</v>
          </cell>
        </row>
      </sheetData>
      <sheetData sheetId="57">
        <row r="17">
          <cell r="M17">
            <v>18956214.285714284</v>
          </cell>
        </row>
        <row r="18">
          <cell r="M18">
            <v>21328461.53846154</v>
          </cell>
        </row>
        <row r="19">
          <cell r="M19">
            <v>51510000</v>
          </cell>
        </row>
        <row r="20">
          <cell r="M20">
            <v>9010000</v>
          </cell>
        </row>
        <row r="21">
          <cell r="M21">
            <v>1700000</v>
          </cell>
        </row>
        <row r="37">
          <cell r="M37">
            <v>9180000</v>
          </cell>
        </row>
        <row r="38">
          <cell r="M38">
            <v>38799230.76923077</v>
          </cell>
        </row>
        <row r="39">
          <cell r="M39">
            <v>5238124.999999999</v>
          </cell>
        </row>
      </sheetData>
      <sheetData sheetId="58">
        <row r="17">
          <cell r="M17">
            <v>38732921.42857143</v>
          </cell>
        </row>
        <row r="18">
          <cell r="M18">
            <v>40326026.92307693</v>
          </cell>
        </row>
        <row r="19">
          <cell r="M19">
            <v>60520000</v>
          </cell>
        </row>
        <row r="20">
          <cell r="M20">
            <v>25160000</v>
          </cell>
        </row>
        <row r="21">
          <cell r="M21">
            <v>19380000</v>
          </cell>
        </row>
        <row r="37">
          <cell r="M37">
            <v>38590000</v>
          </cell>
        </row>
        <row r="38">
          <cell r="M38">
            <v>30137076.923076924</v>
          </cell>
        </row>
        <row r="39">
          <cell r="M39">
            <v>19350249.999999996</v>
          </cell>
        </row>
        <row r="40">
          <cell r="M40">
            <v>2057326.923076923</v>
          </cell>
        </row>
      </sheetData>
      <sheetData sheetId="59">
        <row r="17">
          <cell r="M17">
            <v>14995214.285714284</v>
          </cell>
        </row>
        <row r="18">
          <cell r="M18">
            <v>20262038.46153846</v>
          </cell>
        </row>
        <row r="19">
          <cell r="M19">
            <v>40630000</v>
          </cell>
        </row>
        <row r="20">
          <cell r="M20">
            <v>2040000</v>
          </cell>
        </row>
        <row r="21">
          <cell r="M21">
            <v>9350000</v>
          </cell>
        </row>
        <row r="37">
          <cell r="M37">
            <v>14875000</v>
          </cell>
        </row>
        <row r="38">
          <cell r="M38">
            <v>22287000</v>
          </cell>
        </row>
        <row r="39">
          <cell r="M39">
            <v>5238124.999999999</v>
          </cell>
        </row>
      </sheetData>
      <sheetData sheetId="60">
        <row r="17">
          <cell r="M17">
            <v>31263607.142857146</v>
          </cell>
        </row>
        <row r="18">
          <cell r="M18">
            <v>34308353.84615385</v>
          </cell>
        </row>
        <row r="19">
          <cell r="M19">
            <v>57630000</v>
          </cell>
        </row>
        <row r="20">
          <cell r="M20">
            <v>20400000</v>
          </cell>
        </row>
        <row r="21">
          <cell r="M21">
            <v>22610000</v>
          </cell>
        </row>
        <row r="37">
          <cell r="M37">
            <v>29070000</v>
          </cell>
        </row>
        <row r="38">
          <cell r="M38">
            <v>30227307.692307692</v>
          </cell>
        </row>
        <row r="39">
          <cell r="M39">
            <v>17254999.999999996</v>
          </cell>
        </row>
        <row r="40">
          <cell r="M40">
            <v>5906519.230769231</v>
          </cell>
        </row>
      </sheetData>
      <sheetData sheetId="61">
        <row r="17">
          <cell r="M17">
            <v>24756250</v>
          </cell>
        </row>
        <row r="18">
          <cell r="M18">
            <v>31566123.076923072</v>
          </cell>
        </row>
        <row r="19">
          <cell r="M19">
            <v>38590000</v>
          </cell>
        </row>
        <row r="20">
          <cell r="M20">
            <v>15980000</v>
          </cell>
        </row>
        <row r="21">
          <cell r="M21">
            <v>18700000</v>
          </cell>
        </row>
        <row r="37">
          <cell r="M37">
            <v>23290000</v>
          </cell>
        </row>
        <row r="38">
          <cell r="M38">
            <v>19868815.384615384</v>
          </cell>
        </row>
        <row r="39">
          <cell r="M39">
            <v>15406250</v>
          </cell>
        </row>
        <row r="40">
          <cell r="M40">
            <v>2920076.9230769225</v>
          </cell>
        </row>
      </sheetData>
      <sheetData sheetId="62">
        <row r="17">
          <cell r="M17">
            <v>18527935.42857143</v>
          </cell>
        </row>
        <row r="18">
          <cell r="M18">
            <v>20941515.076923076</v>
          </cell>
        </row>
        <row r="19">
          <cell r="M19">
            <v>20740000</v>
          </cell>
        </row>
        <row r="21">
          <cell r="M21">
            <v>33490000</v>
          </cell>
        </row>
        <row r="37">
          <cell r="M37">
            <v>15300000</v>
          </cell>
        </row>
        <row r="38">
          <cell r="M38">
            <v>10951531.076923076</v>
          </cell>
        </row>
        <row r="39">
          <cell r="M39">
            <v>14171624.999999998</v>
          </cell>
        </row>
        <row r="40">
          <cell r="M40">
            <v>3181942.4615384615</v>
          </cell>
        </row>
      </sheetData>
      <sheetData sheetId="63">
        <row r="43">
          <cell r="M43">
            <v>33150000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összesítő"/>
      <sheetName val="intézmény szerint"/>
      <sheetName val="3 jogcím szerint"/>
      <sheetName val="SZOCIÁLIS"/>
      <sheetName val="ESZI"/>
      <sheetName val="BIG"/>
      <sheetName val="Liget Otthon"/>
      <sheetName val="HSZK"/>
      <sheetName val="SEGÉD összesen"/>
      <sheetName val="KÖZOKTATÁS"/>
      <sheetName val="I.Ovi segéd"/>
      <sheetName val="I.sz. Ovi"/>
      <sheetName val="II.Óvi segéd"/>
      <sheetName val="II.sz. Ovi "/>
      <sheetName val="III.ovi segéd"/>
      <sheetName val="III.sz. Ovi"/>
      <sheetName val="IV.Ovi segéd"/>
      <sheetName val="IV.sz. Ovi"/>
      <sheetName val="Kodály segéd"/>
      <sheetName val="Kodály"/>
      <sheetName val="Bartók segéd"/>
      <sheetName val="Bartók"/>
      <sheetName val="Fiumei segéd"/>
      <sheetName val="Fiumei"/>
      <sheetName val="Belvárosi segéd"/>
      <sheetName val="Belvárosi"/>
      <sheetName val="Kassai segéd"/>
      <sheetName val="Kassai"/>
      <sheetName val="Széchenyi segéd"/>
      <sheetName val="Széchenyi krt."/>
      <sheetName val="Újvárosi segéd"/>
      <sheetName val="Újvárosi"/>
      <sheetName val="II.Rákóczi segéd"/>
      <sheetName val="II. Rákóczi"/>
      <sheetName val="Szanda segéd"/>
      <sheetName val="Szandaszőlősi"/>
      <sheetName val="Liget segéd"/>
      <sheetName val="Liget úti"/>
      <sheetName val="Mátyás segéd"/>
      <sheetName val="Mátyás"/>
      <sheetName val="Kőrősi segéd"/>
      <sheetName val="Kőrösi"/>
      <sheetName val="Szentgyörgyi segéd"/>
      <sheetName val="Szent-Györgyi"/>
      <sheetName val="Pedagógiai szak."/>
      <sheetName val="Verseghy segéd"/>
      <sheetName val="Verseghy"/>
      <sheetName val="Varga segéd"/>
      <sheetName val="Varga"/>
      <sheetName val="Tiszaparti segéd"/>
      <sheetName val="Tiszaparti"/>
      <sheetName val="Széchenyi G segéd"/>
      <sheetName val="Széchenyi"/>
      <sheetName val="Eü segéd"/>
      <sheetName val="Eü. Szki. és Alternatív Gimn."/>
      <sheetName val="Vásárhelyi segéd"/>
      <sheetName val="Vásárhelyi"/>
      <sheetName val="Gépipari segéd"/>
      <sheetName val="Gépipari"/>
      <sheetName val="Pálfy segéd"/>
      <sheetName val="Pálfy"/>
      <sheetName val="Építészeti segéd"/>
      <sheetName val="Építészeti"/>
      <sheetName val="Keró segéd"/>
      <sheetName val="Kereskedelmi"/>
      <sheetName val="Kollégium"/>
      <sheetName val="BIG 2"/>
      <sheetName val="Ruhaipari segéd"/>
      <sheetName val="Ruhaipari"/>
    </sheetNames>
    <sheetDataSet>
      <sheetData sheetId="19">
        <row r="88">
          <cell r="AU88">
            <v>33</v>
          </cell>
        </row>
        <row r="89">
          <cell r="AU89">
            <v>29.33</v>
          </cell>
        </row>
        <row r="90">
          <cell r="AU90">
            <v>8.33</v>
          </cell>
        </row>
      </sheetData>
      <sheetData sheetId="21">
        <row r="82">
          <cell r="AU82">
            <v>172</v>
          </cell>
        </row>
        <row r="83">
          <cell r="AU83">
            <v>123.3</v>
          </cell>
        </row>
        <row r="84">
          <cell r="AU84">
            <v>24.66</v>
          </cell>
        </row>
        <row r="88">
          <cell r="AU88">
            <v>12</v>
          </cell>
        </row>
        <row r="89">
          <cell r="AU89">
            <v>2.66</v>
          </cell>
        </row>
      </sheetData>
      <sheetData sheetId="35">
        <row r="88">
          <cell r="AU88">
            <v>248</v>
          </cell>
        </row>
        <row r="90">
          <cell r="AU90">
            <v>96</v>
          </cell>
        </row>
      </sheetData>
      <sheetData sheetId="39">
        <row r="88">
          <cell r="AU88">
            <v>93</v>
          </cell>
        </row>
        <row r="89">
          <cell r="AU89">
            <v>36</v>
          </cell>
        </row>
        <row r="90">
          <cell r="AU90">
            <v>10</v>
          </cell>
        </row>
      </sheetData>
      <sheetData sheetId="41">
        <row r="88">
          <cell r="AU88">
            <v>30</v>
          </cell>
        </row>
        <row r="89">
          <cell r="AU89">
            <v>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Munka1">
    <tabColor indexed="43"/>
  </sheetPr>
  <dimension ref="A1:H82"/>
  <sheetViews>
    <sheetView workbookViewId="0" topLeftCell="A1">
      <selection activeCell="F58" sqref="F58"/>
    </sheetView>
  </sheetViews>
  <sheetFormatPr defaultColWidth="9.140625" defaultRowHeight="12.75"/>
  <cols>
    <col min="1" max="1" width="57.421875" style="20" customWidth="1"/>
    <col min="2" max="2" width="14.8515625" style="20" customWidth="1"/>
    <col min="3" max="3" width="57.28125" style="20" customWidth="1"/>
    <col min="4" max="4" width="14.00390625" style="22" customWidth="1"/>
    <col min="5" max="5" width="11.7109375" style="264" customWidth="1"/>
    <col min="6" max="6" width="11.28125" style="264" bestFit="1" customWidth="1"/>
    <col min="7" max="8" width="9.140625" style="264" customWidth="1"/>
    <col min="9" max="19" width="9.140625" style="265" customWidth="1"/>
    <col min="20" max="16384" width="9.140625" style="20" customWidth="1"/>
  </cols>
  <sheetData>
    <row r="1" spans="3:4" ht="15">
      <c r="C1" s="1461" t="s">
        <v>970</v>
      </c>
      <c r="D1" s="1461"/>
    </row>
    <row r="2" spans="1:4" ht="15">
      <c r="A2" s="1465" t="s">
        <v>111</v>
      </c>
      <c r="B2" s="1465"/>
      <c r="C2" s="1465"/>
      <c r="D2" s="1465"/>
    </row>
    <row r="3" spans="1:4" ht="15">
      <c r="A3" s="1465" t="s">
        <v>640</v>
      </c>
      <c r="B3" s="1465"/>
      <c r="C3" s="1465"/>
      <c r="D3" s="1465"/>
    </row>
    <row r="4" spans="1:4" ht="15">
      <c r="A4" s="16"/>
      <c r="B4" s="16"/>
      <c r="C4" s="16"/>
      <c r="D4" s="248" t="s">
        <v>384</v>
      </c>
    </row>
    <row r="5" spans="1:4" ht="5.25" customHeight="1">
      <c r="A5" s="1466" t="s">
        <v>112</v>
      </c>
      <c r="B5" s="1462" t="s">
        <v>546</v>
      </c>
      <c r="C5" s="1466" t="s">
        <v>113</v>
      </c>
      <c r="D5" s="1462" t="s">
        <v>546</v>
      </c>
    </row>
    <row r="6" spans="1:4" ht="15">
      <c r="A6" s="1467"/>
      <c r="B6" s="1463"/>
      <c r="C6" s="1467"/>
      <c r="D6" s="1463"/>
    </row>
    <row r="7" spans="1:4" ht="21.75" customHeight="1">
      <c r="A7" s="1468"/>
      <c r="B7" s="1464"/>
      <c r="C7" s="1468"/>
      <c r="D7" s="1464"/>
    </row>
    <row r="8" spans="1:5" ht="17.25" customHeight="1">
      <c r="A8" s="141" t="s">
        <v>115</v>
      </c>
      <c r="B8" s="142">
        <f>B10+B12</f>
        <v>8087667.79210112</v>
      </c>
      <c r="C8" s="141" t="s">
        <v>116</v>
      </c>
      <c r="D8" s="938">
        <f>SUM('2.sz. intézményi'!I252)</f>
        <v>11059314</v>
      </c>
      <c r="E8" s="21"/>
    </row>
    <row r="9" spans="1:5" ht="14.25" customHeight="1">
      <c r="A9" s="141"/>
      <c r="B9" s="142"/>
      <c r="C9" s="926"/>
      <c r="D9" s="251"/>
      <c r="E9" s="21"/>
    </row>
    <row r="10" spans="1:5" ht="17.25" customHeight="1">
      <c r="A10" s="141" t="s">
        <v>117</v>
      </c>
      <c r="B10" s="142">
        <f>SUM('2.sz. intézményi'!I222)</f>
        <v>933628.79210112</v>
      </c>
      <c r="C10" s="925"/>
      <c r="D10" s="252"/>
      <c r="E10" s="21"/>
    </row>
    <row r="11" spans="1:5" ht="15">
      <c r="A11" s="141"/>
      <c r="B11" s="935"/>
      <c r="C11" s="933"/>
      <c r="D11" s="939"/>
      <c r="E11" s="21"/>
    </row>
    <row r="12" spans="1:5" ht="15">
      <c r="A12" s="141" t="s">
        <v>118</v>
      </c>
      <c r="B12" s="142">
        <f>SUM(B26,B19,B13:B14,B27:B28)</f>
        <v>7154039</v>
      </c>
      <c r="C12" s="141" t="s">
        <v>119</v>
      </c>
      <c r="D12" s="142">
        <f>SUM('3.1. terv alapegys'!C246)</f>
        <v>9794941.453</v>
      </c>
      <c r="E12" s="21"/>
    </row>
    <row r="13" spans="1:8" ht="15">
      <c r="A13" s="923" t="s">
        <v>1062</v>
      </c>
      <c r="B13" s="936">
        <v>470000</v>
      </c>
      <c r="C13" s="1076"/>
      <c r="D13" s="251"/>
      <c r="E13" s="21"/>
      <c r="F13" s="266"/>
      <c r="H13" s="21"/>
    </row>
    <row r="14" spans="1:5" ht="15">
      <c r="A14" s="925" t="s">
        <v>121</v>
      </c>
      <c r="B14" s="734">
        <v>4150700</v>
      </c>
      <c r="C14" s="1077"/>
      <c r="D14" s="252"/>
      <c r="E14" s="21"/>
    </row>
    <row r="15" spans="1:6" ht="15">
      <c r="A15" s="925" t="s">
        <v>218</v>
      </c>
      <c r="B15" s="734">
        <v>3300000</v>
      </c>
      <c r="C15" s="1078" t="s">
        <v>1273</v>
      </c>
      <c r="D15" s="252"/>
      <c r="E15" s="21"/>
      <c r="F15" s="266"/>
    </row>
    <row r="16" spans="1:5" ht="15">
      <c r="A16" s="927" t="s">
        <v>219</v>
      </c>
      <c r="B16" s="734">
        <v>800000</v>
      </c>
      <c r="C16" s="1078"/>
      <c r="D16" s="252"/>
      <c r="E16" s="21"/>
    </row>
    <row r="17" spans="1:5" ht="15">
      <c r="A17" s="927" t="s">
        <v>1407</v>
      </c>
      <c r="B17" s="734">
        <v>5700</v>
      </c>
      <c r="C17" s="1077" t="s">
        <v>1439</v>
      </c>
      <c r="D17" s="252">
        <f>SUM('3.1. terv alapegys'!C236)</f>
        <v>10000</v>
      </c>
      <c r="E17" s="21"/>
    </row>
    <row r="18" spans="1:5" ht="15">
      <c r="A18" s="927" t="s">
        <v>1408</v>
      </c>
      <c r="B18" s="734">
        <v>45000</v>
      </c>
      <c r="C18" s="1079"/>
      <c r="D18" s="252"/>
      <c r="E18" s="21"/>
    </row>
    <row r="19" spans="1:5" ht="15">
      <c r="A19" s="925" t="s">
        <v>1063</v>
      </c>
      <c r="B19" s="734">
        <f>SUM(B20:B25)</f>
        <v>2006581</v>
      </c>
      <c r="C19" s="1077" t="s">
        <v>224</v>
      </c>
      <c r="D19" s="252">
        <f>SUM('3.1. terv alapegys'!C237)</f>
        <v>269000</v>
      </c>
      <c r="E19" s="21"/>
    </row>
    <row r="20" spans="1:5" ht="15">
      <c r="A20" s="925" t="s">
        <v>221</v>
      </c>
      <c r="B20" s="734">
        <v>1120786</v>
      </c>
      <c r="C20" s="1077"/>
      <c r="D20" s="252"/>
      <c r="E20" s="21"/>
    </row>
    <row r="21" spans="1:5" ht="15">
      <c r="A21" s="927" t="s">
        <v>222</v>
      </c>
      <c r="B21" s="734">
        <v>395795</v>
      </c>
      <c r="C21" s="1077" t="s">
        <v>1437</v>
      </c>
      <c r="D21" s="252">
        <f>SUM('3.1. terv alapegys'!C241)</f>
        <v>691130.25</v>
      </c>
      <c r="E21" s="21"/>
    </row>
    <row r="22" spans="1:5" ht="15">
      <c r="A22" s="927" t="s">
        <v>223</v>
      </c>
      <c r="B22" s="734"/>
      <c r="C22" s="1077"/>
      <c r="D22" s="252"/>
      <c r="E22" s="21"/>
    </row>
    <row r="23" spans="1:6" ht="15">
      <c r="A23" s="927" t="s">
        <v>225</v>
      </c>
      <c r="B23" s="734">
        <v>490000</v>
      </c>
      <c r="C23" s="1077" t="s">
        <v>1438</v>
      </c>
      <c r="D23" s="252">
        <f>SUM('3.1. terv alapegys'!C242)</f>
        <v>374724</v>
      </c>
      <c r="E23" s="21"/>
      <c r="F23" s="21"/>
    </row>
    <row r="24" spans="1:5" ht="15">
      <c r="A24" s="927" t="s">
        <v>1279</v>
      </c>
      <c r="B24" s="734"/>
      <c r="C24" s="1080"/>
      <c r="D24" s="1259"/>
      <c r="E24" s="21"/>
    </row>
    <row r="25" spans="1:5" ht="15">
      <c r="A25" s="927" t="s">
        <v>1280</v>
      </c>
      <c r="B25" s="734"/>
      <c r="C25" s="1080"/>
      <c r="D25" s="252"/>
      <c r="E25" s="21"/>
    </row>
    <row r="26" spans="1:5" ht="15">
      <c r="A26" s="925" t="s">
        <v>1281</v>
      </c>
      <c r="B26" s="734">
        <f>SUM(' 1.c. bevétel'!C8)</f>
        <v>526758</v>
      </c>
      <c r="C26" s="1080"/>
      <c r="D26" s="252"/>
      <c r="E26" s="21"/>
    </row>
    <row r="27" spans="1:6" ht="15">
      <c r="A27" s="925" t="s">
        <v>1282</v>
      </c>
      <c r="B27" s="734"/>
      <c r="C27" s="1078"/>
      <c r="D27" s="252"/>
      <c r="E27" s="21"/>
      <c r="F27" s="21"/>
    </row>
    <row r="28" spans="1:6" ht="15">
      <c r="A28" s="925" t="s">
        <v>1283</v>
      </c>
      <c r="B28" s="734"/>
      <c r="C28" s="925"/>
      <c r="D28" s="252"/>
      <c r="E28" s="21"/>
      <c r="F28" s="21"/>
    </row>
    <row r="29" spans="1:8" ht="15">
      <c r="A29" s="141" t="s">
        <v>1284</v>
      </c>
      <c r="B29" s="142">
        <f>B30</f>
        <v>6560255</v>
      </c>
      <c r="C29" s="141" t="s">
        <v>1285</v>
      </c>
      <c r="D29" s="142">
        <f>D33+D35</f>
        <v>7500</v>
      </c>
      <c r="E29" s="21"/>
      <c r="F29" s="21"/>
      <c r="G29" s="21"/>
      <c r="H29" s="21"/>
    </row>
    <row r="30" spans="1:5" ht="15">
      <c r="A30" s="923" t="s">
        <v>1286</v>
      </c>
      <c r="B30" s="936">
        <v>6560255</v>
      </c>
      <c r="C30" s="923"/>
      <c r="D30" s="251"/>
      <c r="E30" s="21"/>
    </row>
    <row r="31" spans="1:5" ht="15">
      <c r="A31" s="925" t="s">
        <v>1287</v>
      </c>
      <c r="B31" s="734">
        <f>SUM('1.a Állami t.'!K100)/1000</f>
        <v>5626341.234792044</v>
      </c>
      <c r="C31" s="922" t="s">
        <v>1288</v>
      </c>
      <c r="D31" s="252"/>
      <c r="E31" s="21"/>
    </row>
    <row r="32" spans="1:5" ht="15">
      <c r="A32" s="925" t="s">
        <v>1289</v>
      </c>
      <c r="B32" s="734"/>
      <c r="D32" s="252"/>
      <c r="E32" s="21"/>
    </row>
    <row r="33" spans="1:5" ht="15">
      <c r="A33" s="925" t="s">
        <v>1541</v>
      </c>
      <c r="B33" s="734"/>
      <c r="C33" s="922" t="s">
        <v>1290</v>
      </c>
      <c r="D33" s="252">
        <f>SUM(Kisebbség!C24)</f>
        <v>5000</v>
      </c>
      <c r="E33" s="21"/>
    </row>
    <row r="34" spans="1:5" ht="15">
      <c r="A34" s="925" t="s">
        <v>1291</v>
      </c>
      <c r="B34" s="734">
        <f>SUM('1.a Állami t.'!K112)/1000</f>
        <v>317600</v>
      </c>
      <c r="C34" s="925"/>
      <c r="D34" s="252"/>
      <c r="E34" s="21"/>
    </row>
    <row r="35" spans="1:5" ht="15">
      <c r="A35" s="925" t="s">
        <v>1293</v>
      </c>
      <c r="B35" s="734">
        <f>SUM('1.a Állami t.'!K109)/1000</f>
        <v>616314.366</v>
      </c>
      <c r="C35" s="922" t="s">
        <v>1292</v>
      </c>
      <c r="D35" s="252">
        <f>SUM(Kisebbség!D24)</f>
        <v>2500</v>
      </c>
      <c r="E35" s="21"/>
    </row>
    <row r="36" spans="1:5" ht="15">
      <c r="A36" s="925" t="s">
        <v>1294</v>
      </c>
      <c r="B36" s="734"/>
      <c r="C36" s="924"/>
      <c r="D36" s="252"/>
      <c r="E36" s="21"/>
    </row>
    <row r="37" spans="1:5" ht="15">
      <c r="A37" s="933" t="s">
        <v>1309</v>
      </c>
      <c r="B37" s="1262"/>
      <c r="C37" s="1263"/>
      <c r="D37" s="939"/>
      <c r="E37" s="21"/>
    </row>
    <row r="38" spans="1:5" ht="15">
      <c r="A38" s="1260" t="s">
        <v>1296</v>
      </c>
      <c r="B38" s="1261">
        <f>B39+B41+B42</f>
        <v>1164556</v>
      </c>
      <c r="C38" s="922" t="s">
        <v>1297</v>
      </c>
      <c r="D38" s="252"/>
      <c r="E38" s="21"/>
    </row>
    <row r="39" spans="1:5" ht="15">
      <c r="A39" s="923" t="s">
        <v>1298</v>
      </c>
      <c r="B39" s="936">
        <f>SUM(' 1.c. bevétel'!C29)+'2.sz. intézményi'!I223</f>
        <v>809100</v>
      </c>
      <c r="C39" s="927" t="s">
        <v>1299</v>
      </c>
      <c r="D39" s="252">
        <f>SUM('2.sz. intézményi'!I235)+'3.1. terv alapegys'!D246</f>
        <v>7190984</v>
      </c>
      <c r="E39" s="21"/>
    </row>
    <row r="40" spans="1:5" ht="15">
      <c r="A40" s="925" t="s">
        <v>1300</v>
      </c>
      <c r="B40" s="734">
        <f>SUM('2.sz. intézményi'!I223)</f>
        <v>1500</v>
      </c>
      <c r="C40" s="927" t="s">
        <v>1301</v>
      </c>
      <c r="D40" s="252">
        <f>SUM('2.sz. intézményi'!I236:I239)+'3.1. terv alapegys'!E246</f>
        <v>2331113</v>
      </c>
      <c r="E40" s="21"/>
    </row>
    <row r="41" spans="1:6" ht="15">
      <c r="A41" s="925" t="s">
        <v>1302</v>
      </c>
      <c r="B41" s="734">
        <f>SUM(' 1.c. bevétel'!C33)</f>
        <v>275456</v>
      </c>
      <c r="C41" s="927" t="s">
        <v>1303</v>
      </c>
      <c r="D41" s="252">
        <f>SUM('2.sz. intézményi'!I240)+'3.1. terv alapegys'!F246</f>
        <v>5633067.203</v>
      </c>
      <c r="E41" s="21"/>
      <c r="F41" s="21"/>
    </row>
    <row r="42" spans="1:5" ht="15">
      <c r="A42" s="925" t="s">
        <v>153</v>
      </c>
      <c r="B42" s="734">
        <v>80000</v>
      </c>
      <c r="C42" s="928" t="s">
        <v>1306</v>
      </c>
      <c r="D42" s="252">
        <f>SUM('2.sz. intézményi'!I247)</f>
        <v>182500</v>
      </c>
      <c r="E42" s="21"/>
    </row>
    <row r="43" spans="1:5" ht="15">
      <c r="A43" s="141" t="s">
        <v>154</v>
      </c>
      <c r="B43" s="142">
        <f>SUM(B44,B47,B50,B51)</f>
        <v>1246261</v>
      </c>
      <c r="C43" s="929" t="s">
        <v>122</v>
      </c>
      <c r="D43" s="252">
        <f>SUM('2.b.a élelmezés'!C40)</f>
        <v>681382</v>
      </c>
      <c r="E43" s="21"/>
    </row>
    <row r="44" spans="1:5" ht="15">
      <c r="A44" s="923" t="s">
        <v>155</v>
      </c>
      <c r="B44" s="936">
        <f>SUM(B45:B46)+' 1.c. bevétel'!C41</f>
        <v>262876</v>
      </c>
      <c r="C44" s="930" t="s">
        <v>1305</v>
      </c>
      <c r="D44" s="252">
        <f>SUM('2.sz. intézményi'!I246)</f>
        <v>55581</v>
      </c>
      <c r="E44" s="21"/>
    </row>
    <row r="45" spans="1:5" ht="15">
      <c r="A45" s="925" t="s">
        <v>156</v>
      </c>
      <c r="B45" s="734">
        <f>SUM('2.sz. intézményi'!E183)</f>
        <v>202404</v>
      </c>
      <c r="C45" s="927" t="s">
        <v>157</v>
      </c>
      <c r="D45" s="252">
        <f>SUM('2.sz. intézményi'!I250)</f>
        <v>26200</v>
      </c>
      <c r="E45" s="21"/>
    </row>
    <row r="46" spans="1:5" ht="15">
      <c r="A46" s="925" t="s">
        <v>1310</v>
      </c>
      <c r="B46" s="734">
        <f>SUM('2.sz. intézményi'!I225-'2.sz. intézményi'!I226)+'2.sz. intézményi'!I231</f>
        <v>13193</v>
      </c>
      <c r="C46" s="927" t="s">
        <v>159</v>
      </c>
      <c r="D46" s="252">
        <f>SUM('2.sz. intézményi'!I249)+'3.1. terv alapegys'!H246</f>
        <v>1469544</v>
      </c>
      <c r="E46" s="21"/>
    </row>
    <row r="47" spans="1:5" ht="15">
      <c r="A47" s="925" t="s">
        <v>160</v>
      </c>
      <c r="B47" s="734">
        <f>SUM(' 1.c. bevétel'!C43,' 1.c. bevétel'!C51,' 1.c. bevétel'!C54)+'2.sz. intézményi'!I227+'2.sz. intézményi'!I230</f>
        <v>983385</v>
      </c>
      <c r="C47" s="931" t="s">
        <v>1307</v>
      </c>
      <c r="D47" s="252">
        <f>SUM('3.1. terv alapegys'!H246)</f>
        <v>1469544</v>
      </c>
      <c r="E47" s="21"/>
    </row>
    <row r="48" spans="1:5" ht="15">
      <c r="A48" s="925" t="s">
        <v>156</v>
      </c>
      <c r="B48" s="734"/>
      <c r="C48" s="927" t="s">
        <v>161</v>
      </c>
      <c r="D48" s="252">
        <f>SUM(D49:D51)</f>
        <v>2858493</v>
      </c>
      <c r="E48" s="21"/>
    </row>
    <row r="49" spans="1:5" ht="15">
      <c r="A49" s="925" t="s">
        <v>1310</v>
      </c>
      <c r="B49" s="734">
        <f>SUM('2.sz. intézményi'!I227,'2.sz. intézményi'!I230)</f>
        <v>32200</v>
      </c>
      <c r="C49" s="931" t="s">
        <v>1311</v>
      </c>
      <c r="D49" s="252">
        <f>SUM('3.1. terv alapegys'!J246)+'2.sz. intézményi'!I251</f>
        <v>2000762</v>
      </c>
      <c r="E49" s="21"/>
    </row>
    <row r="50" spans="1:5" ht="17.25" customHeight="1">
      <c r="A50" s="925" t="s">
        <v>1405</v>
      </c>
      <c r="B50" s="734"/>
      <c r="C50" s="929" t="s">
        <v>1312</v>
      </c>
      <c r="D50" s="252">
        <f>SUM('3.1. terv alapegys'!L246)</f>
        <v>315725</v>
      </c>
      <c r="E50" s="21"/>
    </row>
    <row r="51" spans="1:5" ht="15.75" customHeight="1">
      <c r="A51" s="925" t="s">
        <v>1406</v>
      </c>
      <c r="B51" s="734"/>
      <c r="C51" s="932" t="s">
        <v>1313</v>
      </c>
      <c r="D51" s="940">
        <f>SUM('3.1. terv alapegys'!K246)</f>
        <v>542006</v>
      </c>
      <c r="E51" s="21"/>
    </row>
    <row r="52" spans="1:5" ht="28.5" customHeight="1">
      <c r="A52" s="1081" t="s">
        <v>458</v>
      </c>
      <c r="B52" s="142">
        <f>SUM(' 1.c. bevétel'!C59)</f>
        <v>11700</v>
      </c>
      <c r="C52" s="924"/>
      <c r="D52" s="252"/>
      <c r="E52" s="21"/>
    </row>
    <row r="53" spans="1:5" ht="15">
      <c r="A53" s="141" t="s">
        <v>1427</v>
      </c>
      <c r="B53" s="142">
        <f>SUM(' 1.c. bevétel'!C62)</f>
        <v>2034246.25</v>
      </c>
      <c r="C53" s="924"/>
      <c r="D53" s="939"/>
      <c r="E53" s="21"/>
    </row>
    <row r="54" spans="1:5" ht="15">
      <c r="A54" s="141" t="s">
        <v>735</v>
      </c>
      <c r="B54" s="142">
        <f>SUM(' 1.c. bevétel'!C65)</f>
        <v>500000</v>
      </c>
      <c r="C54" s="141" t="s">
        <v>168</v>
      </c>
      <c r="D54" s="938"/>
      <c r="E54" s="21"/>
    </row>
    <row r="55" spans="1:5" ht="15">
      <c r="A55" s="926"/>
      <c r="B55" s="937"/>
      <c r="C55" s="922"/>
      <c r="D55" s="941"/>
      <c r="E55" s="21"/>
    </row>
    <row r="56" spans="1:5" ht="15">
      <c r="A56" s="922" t="s">
        <v>162</v>
      </c>
      <c r="B56" s="217"/>
      <c r="C56" s="934"/>
      <c r="D56" s="252"/>
      <c r="E56" s="21"/>
    </row>
    <row r="57" spans="1:5" ht="15">
      <c r="A57" s="925" t="s">
        <v>163</v>
      </c>
      <c r="B57" s="734"/>
      <c r="C57" s="924"/>
      <c r="D57" s="252"/>
      <c r="E57" s="21"/>
    </row>
    <row r="58" spans="1:5" ht="15">
      <c r="A58" s="925" t="s">
        <v>1300</v>
      </c>
      <c r="B58" s="734"/>
      <c r="C58" s="925"/>
      <c r="D58" s="252"/>
      <c r="E58" s="21"/>
    </row>
    <row r="59" spans="1:5" ht="12.75" customHeight="1">
      <c r="A59" s="925"/>
      <c r="B59" s="217"/>
      <c r="C59" s="922"/>
      <c r="D59" s="252"/>
      <c r="E59" s="21"/>
    </row>
    <row r="60" spans="1:5" ht="19.5" customHeight="1">
      <c r="A60" s="141" t="s">
        <v>948</v>
      </c>
      <c r="B60" s="142">
        <f>SUM(B56,B53,B52,B43,B38,B29,B8,B54)</f>
        <v>19604686.04210112</v>
      </c>
      <c r="C60" s="925"/>
      <c r="D60" s="252"/>
      <c r="E60" s="21"/>
    </row>
    <row r="61" spans="1:5" ht="18.75" customHeight="1">
      <c r="A61" s="922" t="s">
        <v>167</v>
      </c>
      <c r="B61" s="217">
        <f>D62-B60</f>
        <v>1257069.410898883</v>
      </c>
      <c r="C61" s="924"/>
      <c r="D61" s="252"/>
      <c r="E61" s="21"/>
    </row>
    <row r="62" spans="1:5" ht="21" customHeight="1">
      <c r="A62" s="141" t="s">
        <v>169</v>
      </c>
      <c r="B62" s="142">
        <f>SUM(B60,B61)</f>
        <v>20861755.453</v>
      </c>
      <c r="C62" s="141" t="s">
        <v>169</v>
      </c>
      <c r="D62" s="401">
        <f>D29+D12+D8+D61</f>
        <v>20861755.453</v>
      </c>
      <c r="E62" s="21"/>
    </row>
    <row r="63" spans="1:5" ht="15">
      <c r="A63" s="17"/>
      <c r="B63" s="17"/>
      <c r="C63" s="17"/>
      <c r="D63" s="21"/>
      <c r="E63" s="21"/>
    </row>
    <row r="64" spans="1:3" ht="15">
      <c r="A64" s="15"/>
      <c r="B64" s="16"/>
      <c r="C64" s="16"/>
    </row>
    <row r="65" spans="1:4" ht="15">
      <c r="A65" s="21"/>
      <c r="B65" s="21"/>
      <c r="C65" s="21"/>
      <c r="D65" s="21"/>
    </row>
    <row r="66" spans="1:5" ht="15">
      <c r="A66" s="21"/>
      <c r="B66" s="21"/>
      <c r="C66" s="23"/>
      <c r="D66" s="23"/>
      <c r="E66" s="21"/>
    </row>
    <row r="67" spans="1:5" ht="15">
      <c r="A67" s="21"/>
      <c r="B67" s="21"/>
      <c r="C67" s="21"/>
      <c r="D67" s="21"/>
      <c r="E67" s="21"/>
    </row>
    <row r="68" spans="1:5" ht="15">
      <c r="A68" s="24"/>
      <c r="B68" s="21"/>
      <c r="C68" s="19"/>
      <c r="D68" s="21"/>
      <c r="E68" s="21"/>
    </row>
    <row r="69" spans="1:5" ht="15">
      <c r="A69" s="19"/>
      <c r="B69" s="21"/>
      <c r="C69" s="19"/>
      <c r="D69" s="21"/>
      <c r="E69" s="21"/>
    </row>
    <row r="70" spans="1:5" ht="15">
      <c r="A70" s="19"/>
      <c r="B70" s="21"/>
      <c r="C70" s="19"/>
      <c r="D70" s="21"/>
      <c r="E70" s="21"/>
    </row>
    <row r="71" spans="1:5" ht="15">
      <c r="A71" s="19"/>
      <c r="B71" s="19"/>
      <c r="C71" s="19"/>
      <c r="D71" s="21"/>
      <c r="E71" s="21"/>
    </row>
    <row r="72" ht="15">
      <c r="E72" s="21"/>
    </row>
    <row r="73" ht="15">
      <c r="E73" s="21"/>
    </row>
    <row r="74" ht="15">
      <c r="E74" s="21"/>
    </row>
    <row r="75" spans="2:5" ht="15">
      <c r="B75" s="25"/>
      <c r="E75" s="21"/>
    </row>
    <row r="76" spans="2:5" ht="15">
      <c r="B76" s="25"/>
      <c r="E76" s="21"/>
    </row>
    <row r="77" ht="15">
      <c r="E77" s="21"/>
    </row>
    <row r="78" spans="2:5" ht="15">
      <c r="B78" s="25"/>
      <c r="E78" s="21"/>
    </row>
    <row r="79" ht="15">
      <c r="E79" s="21"/>
    </row>
    <row r="80" ht="15">
      <c r="E80" s="21"/>
    </row>
    <row r="81" ht="15">
      <c r="E81" s="21"/>
    </row>
    <row r="82" ht="15">
      <c r="E82" s="21"/>
    </row>
  </sheetData>
  <mergeCells count="7">
    <mergeCell ref="C1:D1"/>
    <mergeCell ref="B5:B7"/>
    <mergeCell ref="A2:D2"/>
    <mergeCell ref="A5:A7"/>
    <mergeCell ref="D5:D7"/>
    <mergeCell ref="A3:D3"/>
    <mergeCell ref="C5:C7"/>
  </mergeCells>
  <printOptions horizontalCentered="1" verticalCentered="1"/>
  <pageMargins left="0.55" right="0.62" top="0.38" bottom="0.4724409448818898" header="0.2755905511811024" footer="0.1968503937007874"/>
  <pageSetup cellComments="asDisplayed" horizontalDpi="600" verticalDpi="600" orientation="landscape" paperSize="9" scale="92" r:id="rId1"/>
  <rowBreaks count="1" manualBreakCount="1">
    <brk id="37" max="3" man="1"/>
  </rowBreaks>
</worksheet>
</file>

<file path=xl/worksheets/sheet10.xml><?xml version="1.0" encoding="utf-8"?>
<worksheet xmlns="http://schemas.openxmlformats.org/spreadsheetml/2006/main" xmlns:r="http://schemas.openxmlformats.org/officeDocument/2006/relationships">
  <sheetPr>
    <tabColor indexed="43"/>
  </sheetPr>
  <dimension ref="A1:G40"/>
  <sheetViews>
    <sheetView workbookViewId="0" topLeftCell="A22">
      <selection activeCell="A22" sqref="A1:IV16384"/>
    </sheetView>
  </sheetViews>
  <sheetFormatPr defaultColWidth="9.140625" defaultRowHeight="12.75"/>
  <cols>
    <col min="1" max="1" width="82.140625" style="285" customWidth="1"/>
    <col min="2" max="2" width="15.421875" style="285" customWidth="1"/>
    <col min="3" max="4" width="20.28125" style="285" customWidth="1"/>
    <col min="5" max="7" width="15.8515625" style="285" customWidth="1"/>
    <col min="8" max="23" width="15.421875" style="285" customWidth="1"/>
    <col min="24" max="16384" width="9.140625" style="285" customWidth="1"/>
  </cols>
  <sheetData>
    <row r="1" spans="6:7" ht="15">
      <c r="F1" s="1576" t="s">
        <v>628</v>
      </c>
      <c r="G1" s="1576"/>
    </row>
    <row r="2" spans="1:6" ht="15">
      <c r="A2" s="732"/>
      <c r="B2" s="748"/>
      <c r="C2" s="748"/>
      <c r="D2" s="748"/>
      <c r="E2" s="748"/>
      <c r="F2" s="748"/>
    </row>
    <row r="3" spans="1:7" ht="15">
      <c r="A3" s="1584" t="s">
        <v>124</v>
      </c>
      <c r="B3" s="1584"/>
      <c r="C3" s="1584"/>
      <c r="D3" s="1584"/>
      <c r="E3" s="1584"/>
      <c r="F3" s="1584"/>
      <c r="G3" s="1584"/>
    </row>
    <row r="4" spans="1:7" ht="15">
      <c r="A4" s="1584" t="s">
        <v>123</v>
      </c>
      <c r="B4" s="1584"/>
      <c r="C4" s="1584"/>
      <c r="D4" s="1584"/>
      <c r="E4" s="1584"/>
      <c r="F4" s="1584"/>
      <c r="G4" s="1584"/>
    </row>
    <row r="5" spans="1:7" ht="15">
      <c r="A5" s="732"/>
      <c r="B5" s="732"/>
      <c r="C5" s="732"/>
      <c r="D5" s="732"/>
      <c r="E5" s="732"/>
      <c r="F5" s="732"/>
      <c r="G5" s="732"/>
    </row>
    <row r="6" ht="15">
      <c r="G6" s="747" t="s">
        <v>384</v>
      </c>
    </row>
    <row r="7" spans="1:7" ht="20.25" customHeight="1">
      <c r="A7" s="1588" t="s">
        <v>863</v>
      </c>
      <c r="B7" s="1590" t="s">
        <v>861</v>
      </c>
      <c r="C7" s="1590" t="s">
        <v>1344</v>
      </c>
      <c r="D7" s="1590"/>
      <c r="E7" s="1590" t="s">
        <v>1047</v>
      </c>
      <c r="F7" s="1590" t="s">
        <v>625</v>
      </c>
      <c r="G7" s="1577" t="s">
        <v>862</v>
      </c>
    </row>
    <row r="8" spans="1:7" ht="42.75" customHeight="1">
      <c r="A8" s="1589"/>
      <c r="B8" s="1591"/>
      <c r="C8" s="1345" t="s">
        <v>626</v>
      </c>
      <c r="D8" s="1345" t="s">
        <v>351</v>
      </c>
      <c r="E8" s="1591"/>
      <c r="F8" s="1591"/>
      <c r="G8" s="1578"/>
    </row>
    <row r="9" spans="1:7" s="1294" customFormat="1" ht="20.25" customHeight="1">
      <c r="A9" s="1307" t="s">
        <v>627</v>
      </c>
      <c r="B9" s="1308">
        <f aca="true" t="shared" si="0" ref="B9:G9">SUM(B11:B36)</f>
        <v>695895</v>
      </c>
      <c r="C9" s="1308">
        <f t="shared" si="0"/>
        <v>657094</v>
      </c>
      <c r="D9" s="1308">
        <f t="shared" si="0"/>
        <v>38801</v>
      </c>
      <c r="E9" s="1308">
        <f t="shared" si="0"/>
        <v>389420</v>
      </c>
      <c r="F9" s="1308">
        <f t="shared" si="0"/>
        <v>43500</v>
      </c>
      <c r="G9" s="1309">
        <f t="shared" si="0"/>
        <v>136303</v>
      </c>
    </row>
    <row r="10" spans="1:7" ht="18.75" customHeight="1">
      <c r="A10" s="1585" t="s">
        <v>1344</v>
      </c>
      <c r="B10" s="1586"/>
      <c r="C10" s="1586"/>
      <c r="D10" s="1586"/>
      <c r="E10" s="1586"/>
      <c r="F10" s="1586"/>
      <c r="G10" s="1587"/>
    </row>
    <row r="11" spans="1:7" ht="15">
      <c r="A11" s="1299" t="s">
        <v>953</v>
      </c>
      <c r="B11" s="304">
        <f>SUM(C11:D11)</f>
        <v>169929</v>
      </c>
      <c r="C11" s="304">
        <v>158184</v>
      </c>
      <c r="D11" s="304">
        <v>11745</v>
      </c>
      <c r="E11" s="304">
        <v>88803</v>
      </c>
      <c r="F11" s="304">
        <v>11745</v>
      </c>
      <c r="G11" s="143">
        <v>36830</v>
      </c>
    </row>
    <row r="12" spans="1:7" ht="17.25" customHeight="1">
      <c r="A12" s="1300" t="s">
        <v>125</v>
      </c>
      <c r="B12" s="304">
        <f aca="true" t="shared" si="1" ref="B12:B36">SUM(C12:D12)</f>
        <v>33143</v>
      </c>
      <c r="C12" s="304">
        <v>31433</v>
      </c>
      <c r="D12" s="304">
        <v>1710</v>
      </c>
      <c r="E12" s="304">
        <v>17107</v>
      </c>
      <c r="F12" s="304">
        <v>1710</v>
      </c>
      <c r="G12" s="143">
        <v>7839</v>
      </c>
    </row>
    <row r="13" spans="1:7" ht="15">
      <c r="A13" s="1301" t="s">
        <v>955</v>
      </c>
      <c r="B13" s="304">
        <f t="shared" si="1"/>
        <v>0</v>
      </c>
      <c r="C13" s="304">
        <v>0</v>
      </c>
      <c r="D13" s="304">
        <v>0</v>
      </c>
      <c r="E13" s="304">
        <v>0</v>
      </c>
      <c r="F13" s="304">
        <v>0</v>
      </c>
      <c r="G13" s="143">
        <v>0</v>
      </c>
    </row>
    <row r="14" spans="1:7" ht="15">
      <c r="A14" s="1302" t="s">
        <v>84</v>
      </c>
      <c r="B14" s="304">
        <f t="shared" si="1"/>
        <v>30490</v>
      </c>
      <c r="C14" s="304">
        <v>28643</v>
      </c>
      <c r="D14" s="304">
        <v>1847</v>
      </c>
      <c r="E14" s="304">
        <v>16776</v>
      </c>
      <c r="F14" s="304">
        <v>1847</v>
      </c>
      <c r="G14" s="143">
        <v>5956</v>
      </c>
    </row>
    <row r="15" spans="1:7" ht="15">
      <c r="A15" s="1299" t="s">
        <v>1352</v>
      </c>
      <c r="B15" s="304">
        <f t="shared" si="1"/>
        <v>26465</v>
      </c>
      <c r="C15" s="304">
        <v>25649</v>
      </c>
      <c r="D15" s="304">
        <v>816</v>
      </c>
      <c r="E15" s="304">
        <v>17087</v>
      </c>
      <c r="F15" s="304">
        <v>816</v>
      </c>
      <c r="G15" s="143">
        <v>3270</v>
      </c>
    </row>
    <row r="16" spans="1:7" ht="15">
      <c r="A16" s="1299" t="s">
        <v>1353</v>
      </c>
      <c r="B16" s="304">
        <f t="shared" si="1"/>
        <v>27651</v>
      </c>
      <c r="C16" s="304">
        <v>26473</v>
      </c>
      <c r="D16" s="304">
        <v>1178</v>
      </c>
      <c r="E16" s="304">
        <v>17323</v>
      </c>
      <c r="F16" s="304">
        <v>1178</v>
      </c>
      <c r="G16" s="143">
        <v>3707</v>
      </c>
    </row>
    <row r="17" spans="1:7" ht="19.5" customHeight="1">
      <c r="A17" s="1301" t="s">
        <v>553</v>
      </c>
      <c r="B17" s="304">
        <f t="shared" si="1"/>
        <v>20362</v>
      </c>
      <c r="C17" s="304">
        <v>19910</v>
      </c>
      <c r="D17" s="304">
        <v>452</v>
      </c>
      <c r="E17" s="304">
        <v>10668</v>
      </c>
      <c r="F17" s="304">
        <v>452</v>
      </c>
      <c r="G17" s="143">
        <v>5134</v>
      </c>
    </row>
    <row r="18" spans="1:7" ht="15">
      <c r="A18" s="1299" t="s">
        <v>1354</v>
      </c>
      <c r="B18" s="304">
        <f t="shared" si="1"/>
        <v>12407</v>
      </c>
      <c r="C18" s="304">
        <v>11681</v>
      </c>
      <c r="D18" s="304">
        <v>726</v>
      </c>
      <c r="E18" s="304">
        <v>1544</v>
      </c>
      <c r="F18" s="304">
        <v>726</v>
      </c>
      <c r="G18" s="143">
        <v>7728</v>
      </c>
    </row>
    <row r="19" spans="1:7" ht="15">
      <c r="A19" s="1299" t="s">
        <v>559</v>
      </c>
      <c r="B19" s="304">
        <f t="shared" si="1"/>
        <v>21855</v>
      </c>
      <c r="C19" s="304">
        <v>21142</v>
      </c>
      <c r="D19" s="304">
        <v>713</v>
      </c>
      <c r="E19" s="304">
        <v>12860</v>
      </c>
      <c r="F19" s="304">
        <v>713</v>
      </c>
      <c r="G19" s="143">
        <v>3919</v>
      </c>
    </row>
    <row r="20" spans="1:7" ht="16.5" customHeight="1">
      <c r="A20" s="1300" t="s">
        <v>1542</v>
      </c>
      <c r="B20" s="304">
        <f t="shared" si="1"/>
        <v>41309</v>
      </c>
      <c r="C20" s="304">
        <v>40524</v>
      </c>
      <c r="D20" s="304">
        <v>785</v>
      </c>
      <c r="E20" s="304">
        <v>25069</v>
      </c>
      <c r="F20" s="304">
        <v>785</v>
      </c>
      <c r="G20" s="143">
        <v>7097</v>
      </c>
    </row>
    <row r="21" spans="1:7" ht="15">
      <c r="A21" s="1300" t="s">
        <v>956</v>
      </c>
      <c r="B21" s="304">
        <f t="shared" si="1"/>
        <v>9603</v>
      </c>
      <c r="C21" s="304">
        <v>8710</v>
      </c>
      <c r="D21" s="304">
        <v>893</v>
      </c>
      <c r="E21" s="304">
        <v>2323</v>
      </c>
      <c r="F21" s="304">
        <v>893</v>
      </c>
      <c r="G21" s="143">
        <v>4588</v>
      </c>
    </row>
    <row r="22" spans="1:7" ht="15">
      <c r="A22" s="1300" t="s">
        <v>1543</v>
      </c>
      <c r="B22" s="304">
        <f t="shared" si="1"/>
        <v>19230</v>
      </c>
      <c r="C22" s="304">
        <v>18814</v>
      </c>
      <c r="D22" s="304">
        <v>416</v>
      </c>
      <c r="E22" s="304">
        <v>6482</v>
      </c>
      <c r="F22" s="304">
        <v>416</v>
      </c>
      <c r="G22" s="143">
        <v>8488</v>
      </c>
    </row>
    <row r="23" spans="1:7" ht="17.25" customHeight="1">
      <c r="A23" s="1300" t="s">
        <v>1544</v>
      </c>
      <c r="B23" s="304">
        <f t="shared" si="1"/>
        <v>35214</v>
      </c>
      <c r="C23" s="304">
        <v>34568</v>
      </c>
      <c r="D23" s="304">
        <v>646</v>
      </c>
      <c r="E23" s="304">
        <v>20470</v>
      </c>
      <c r="F23" s="304">
        <v>646</v>
      </c>
      <c r="G23" s="143">
        <v>6965</v>
      </c>
    </row>
    <row r="24" spans="1:7" ht="15">
      <c r="A24" s="1299" t="s">
        <v>61</v>
      </c>
      <c r="B24" s="304">
        <f t="shared" si="1"/>
        <v>43960</v>
      </c>
      <c r="C24" s="304">
        <v>43160</v>
      </c>
      <c r="D24" s="304">
        <v>800</v>
      </c>
      <c r="E24" s="304">
        <v>23734</v>
      </c>
      <c r="F24" s="304">
        <v>800</v>
      </c>
      <c r="G24" s="143">
        <v>10560</v>
      </c>
    </row>
    <row r="25" spans="1:7" ht="15">
      <c r="A25" s="1299" t="s">
        <v>62</v>
      </c>
      <c r="B25" s="304">
        <f t="shared" si="1"/>
        <v>17981</v>
      </c>
      <c r="C25" s="304">
        <v>17325</v>
      </c>
      <c r="D25" s="304">
        <v>656</v>
      </c>
      <c r="E25" s="304">
        <v>11922</v>
      </c>
      <c r="F25" s="304">
        <v>656</v>
      </c>
      <c r="G25" s="143">
        <v>1845</v>
      </c>
    </row>
    <row r="26" spans="1:7" ht="15">
      <c r="A26" s="1299" t="s">
        <v>63</v>
      </c>
      <c r="B26" s="304">
        <f t="shared" si="1"/>
        <v>12236</v>
      </c>
      <c r="C26" s="304">
        <v>12236</v>
      </c>
      <c r="D26" s="304">
        <v>0</v>
      </c>
      <c r="E26" s="304">
        <v>8557</v>
      </c>
      <c r="F26" s="304">
        <v>0</v>
      </c>
      <c r="G26" s="143">
        <v>1166</v>
      </c>
    </row>
    <row r="27" spans="1:7" ht="15">
      <c r="A27" s="1300" t="s">
        <v>1483</v>
      </c>
      <c r="B27" s="304">
        <f t="shared" si="1"/>
        <v>24004</v>
      </c>
      <c r="C27" s="304">
        <v>13902</v>
      </c>
      <c r="D27" s="304">
        <v>10102</v>
      </c>
      <c r="E27" s="304">
        <v>14710</v>
      </c>
      <c r="F27" s="304">
        <v>14801</v>
      </c>
      <c r="G27" s="143"/>
    </row>
    <row r="28" spans="1:7" ht="15">
      <c r="A28" s="1300" t="s">
        <v>1412</v>
      </c>
      <c r="B28" s="304">
        <f t="shared" si="1"/>
        <v>17255</v>
      </c>
      <c r="C28" s="304">
        <v>17255</v>
      </c>
      <c r="D28" s="304">
        <v>0</v>
      </c>
      <c r="E28" s="304">
        <v>11532</v>
      </c>
      <c r="F28" s="304">
        <v>0</v>
      </c>
      <c r="G28" s="143">
        <v>2178</v>
      </c>
    </row>
    <row r="29" spans="1:7" ht="15">
      <c r="A29" s="1303" t="s">
        <v>1340</v>
      </c>
      <c r="B29" s="304">
        <f t="shared" si="1"/>
        <v>2733</v>
      </c>
      <c r="C29" s="304">
        <v>2012</v>
      </c>
      <c r="D29" s="304">
        <v>721</v>
      </c>
      <c r="E29" s="304">
        <v>1241</v>
      </c>
      <c r="F29" s="304">
        <v>721</v>
      </c>
      <c r="G29" s="143">
        <v>358</v>
      </c>
    </row>
    <row r="30" spans="1:7" ht="15" customHeight="1">
      <c r="A30" s="1301" t="s">
        <v>558</v>
      </c>
      <c r="B30" s="304">
        <f t="shared" si="1"/>
        <v>8184</v>
      </c>
      <c r="C30" s="304">
        <v>8184</v>
      </c>
      <c r="D30" s="304">
        <v>0</v>
      </c>
      <c r="E30" s="304">
        <v>5999</v>
      </c>
      <c r="F30" s="304">
        <v>0</v>
      </c>
      <c r="G30" s="143">
        <v>505</v>
      </c>
    </row>
    <row r="31" spans="1:7" ht="15">
      <c r="A31" s="1299" t="s">
        <v>554</v>
      </c>
      <c r="B31" s="304">
        <f t="shared" si="1"/>
        <v>8250</v>
      </c>
      <c r="C31" s="304">
        <v>7500</v>
      </c>
      <c r="D31" s="304">
        <v>750</v>
      </c>
      <c r="E31" s="304">
        <v>4770</v>
      </c>
      <c r="F31" s="304">
        <v>750</v>
      </c>
      <c r="G31" s="143">
        <v>1190</v>
      </c>
    </row>
    <row r="32" spans="1:7" ht="15">
      <c r="A32" s="1299" t="s">
        <v>1486</v>
      </c>
      <c r="B32" s="304">
        <f t="shared" si="1"/>
        <v>14719</v>
      </c>
      <c r="C32" s="304">
        <v>13575</v>
      </c>
      <c r="D32" s="304">
        <v>1144</v>
      </c>
      <c r="E32" s="304">
        <v>9026</v>
      </c>
      <c r="F32" s="304">
        <v>1144</v>
      </c>
      <c r="G32" s="143">
        <v>1762</v>
      </c>
    </row>
    <row r="33" spans="1:7" ht="15">
      <c r="A33" s="1300" t="s">
        <v>126</v>
      </c>
      <c r="B33" s="304">
        <f t="shared" si="1"/>
        <v>5342</v>
      </c>
      <c r="C33" s="304">
        <v>3816</v>
      </c>
      <c r="D33" s="304">
        <v>1526</v>
      </c>
      <c r="E33" s="304">
        <v>2454</v>
      </c>
      <c r="F33" s="304">
        <v>1526</v>
      </c>
      <c r="G33" s="143">
        <v>578</v>
      </c>
    </row>
    <row r="34" spans="1:7" ht="15">
      <c r="A34" s="1300" t="s">
        <v>451</v>
      </c>
      <c r="B34" s="304">
        <f t="shared" si="1"/>
        <v>2921</v>
      </c>
      <c r="C34" s="304">
        <v>2171</v>
      </c>
      <c r="D34" s="304">
        <v>750</v>
      </c>
      <c r="E34" s="304">
        <v>1390</v>
      </c>
      <c r="F34" s="304">
        <v>750</v>
      </c>
      <c r="G34" s="143">
        <v>336</v>
      </c>
    </row>
    <row r="35" spans="1:7" ht="15">
      <c r="A35" s="1299" t="s">
        <v>983</v>
      </c>
      <c r="B35" s="304">
        <f t="shared" si="1"/>
        <v>4868</v>
      </c>
      <c r="C35" s="304">
        <v>4443</v>
      </c>
      <c r="D35" s="304">
        <v>425</v>
      </c>
      <c r="E35" s="304">
        <v>2749</v>
      </c>
      <c r="F35" s="304">
        <v>425</v>
      </c>
      <c r="G35" s="143">
        <v>782</v>
      </c>
    </row>
    <row r="36" spans="1:7" ht="15">
      <c r="A36" s="1304" t="s">
        <v>64</v>
      </c>
      <c r="B36" s="987">
        <f t="shared" si="1"/>
        <v>85784</v>
      </c>
      <c r="C36" s="987">
        <v>85784</v>
      </c>
      <c r="D36" s="987">
        <v>0</v>
      </c>
      <c r="E36" s="987">
        <v>54824</v>
      </c>
      <c r="F36" s="987">
        <v>0</v>
      </c>
      <c r="G36" s="1305">
        <v>13522</v>
      </c>
    </row>
    <row r="37" spans="1:7" ht="15">
      <c r="A37" s="1296"/>
      <c r="B37" s="1297"/>
      <c r="C37" s="1297"/>
      <c r="D37" s="1297"/>
      <c r="E37" s="1297"/>
      <c r="F37" s="1297"/>
      <c r="G37" s="1298"/>
    </row>
    <row r="38" spans="1:7" s="1295" customFormat="1" ht="18.75" customHeight="1">
      <c r="A38" s="1306" t="s">
        <v>971</v>
      </c>
      <c r="B38" s="1251">
        <f>SUM(C38:D38)</f>
        <v>31258</v>
      </c>
      <c r="C38" s="1251">
        <v>24288</v>
      </c>
      <c r="D38" s="1251">
        <v>6970</v>
      </c>
      <c r="E38" s="1251">
        <v>23697</v>
      </c>
      <c r="F38" s="1251">
        <v>6970</v>
      </c>
      <c r="G38" s="1252">
        <v>5449</v>
      </c>
    </row>
    <row r="39" spans="1:7" ht="15">
      <c r="A39" s="1296"/>
      <c r="B39" s="1297"/>
      <c r="C39" s="1297"/>
      <c r="D39" s="1297"/>
      <c r="E39" s="1297"/>
      <c r="F39" s="1297"/>
      <c r="G39" s="1298"/>
    </row>
    <row r="40" spans="1:7" s="748" customFormat="1" ht="19.5" customHeight="1">
      <c r="A40" s="1253" t="s">
        <v>1048</v>
      </c>
      <c r="B40" s="218">
        <f aca="true" t="shared" si="2" ref="B40:G40">SUM(B38,B9)</f>
        <v>727153</v>
      </c>
      <c r="C40" s="218">
        <f t="shared" si="2"/>
        <v>681382</v>
      </c>
      <c r="D40" s="218">
        <f t="shared" si="2"/>
        <v>45771</v>
      </c>
      <c r="E40" s="218">
        <f t="shared" si="2"/>
        <v>413117</v>
      </c>
      <c r="F40" s="218">
        <f t="shared" si="2"/>
        <v>50470</v>
      </c>
      <c r="G40" s="1254">
        <f t="shared" si="2"/>
        <v>141752</v>
      </c>
    </row>
  </sheetData>
  <mergeCells count="10">
    <mergeCell ref="A4:G4"/>
    <mergeCell ref="A10:G10"/>
    <mergeCell ref="F1:G1"/>
    <mergeCell ref="G7:G8"/>
    <mergeCell ref="A3:G3"/>
    <mergeCell ref="A7:A8"/>
    <mergeCell ref="B7:B8"/>
    <mergeCell ref="C7:D7"/>
    <mergeCell ref="E7:E8"/>
    <mergeCell ref="F7:F8"/>
  </mergeCells>
  <printOptions horizontalCentered="1"/>
  <pageMargins left="0.2362204724409449" right="0.2362204724409449" top="0.6" bottom="0.29" header="0.19" footer="0.21"/>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codeName="Munka10">
    <tabColor indexed="43"/>
  </sheetPr>
  <dimension ref="A1:N373"/>
  <sheetViews>
    <sheetView zoomScale="80" zoomScaleNormal="80" workbookViewId="0" topLeftCell="A95">
      <selection activeCell="A95" sqref="A1:IV16384"/>
    </sheetView>
  </sheetViews>
  <sheetFormatPr defaultColWidth="9.140625" defaultRowHeight="12.75"/>
  <cols>
    <col min="1" max="1" width="6.7109375" style="197" customWidth="1"/>
    <col min="2" max="2" width="67.8515625" style="197" customWidth="1"/>
    <col min="3" max="3" width="12.421875" style="197" customWidth="1"/>
    <col min="4" max="4" width="10.7109375" style="197" customWidth="1"/>
    <col min="5" max="5" width="10.421875" style="197" customWidth="1"/>
    <col min="6" max="6" width="11.140625" style="197" customWidth="1"/>
    <col min="7" max="7" width="11.8515625" style="197" customWidth="1"/>
    <col min="8" max="8" width="11.57421875" style="197" customWidth="1"/>
    <col min="9" max="9" width="11.7109375" style="197" customWidth="1"/>
    <col min="10" max="10" width="11.00390625" style="197" customWidth="1"/>
    <col min="11" max="11" width="9.140625" style="197" customWidth="1"/>
    <col min="12" max="12" width="11.28125" style="197" customWidth="1"/>
    <col min="13" max="13" width="9.140625" style="197" customWidth="1"/>
    <col min="14" max="14" width="15.28125" style="197" customWidth="1"/>
    <col min="15" max="16384" width="9.140625" style="197" customWidth="1"/>
  </cols>
  <sheetData>
    <row r="1" spans="11:12" ht="15">
      <c r="K1" s="1603" t="s">
        <v>394</v>
      </c>
      <c r="L1" s="1603"/>
    </row>
    <row r="2" spans="1:12" ht="15">
      <c r="A2" s="1606" t="s">
        <v>171</v>
      </c>
      <c r="B2" s="1606"/>
      <c r="C2" s="1606"/>
      <c r="D2" s="1606"/>
      <c r="E2" s="1606"/>
      <c r="F2" s="1606"/>
      <c r="G2" s="1606"/>
      <c r="H2" s="1606"/>
      <c r="I2" s="1606"/>
      <c r="J2" s="1606"/>
      <c r="K2" s="1606"/>
      <c r="L2" s="1606"/>
    </row>
    <row r="3" spans="1:12" ht="15">
      <c r="A3" s="1606" t="s">
        <v>642</v>
      </c>
      <c r="B3" s="1606"/>
      <c r="C3" s="1606"/>
      <c r="D3" s="1606"/>
      <c r="E3" s="1606"/>
      <c r="F3" s="1606"/>
      <c r="G3" s="1606"/>
      <c r="H3" s="1606"/>
      <c r="I3" s="1606"/>
      <c r="J3" s="1606"/>
      <c r="K3" s="1606"/>
      <c r="L3" s="1606"/>
    </row>
    <row r="5" spans="11:12" ht="15">
      <c r="K5" s="281"/>
      <c r="L5" s="282" t="s">
        <v>384</v>
      </c>
    </row>
    <row r="6" spans="1:12" ht="15">
      <c r="A6" s="1607" t="s">
        <v>240</v>
      </c>
      <c r="B6" s="1610" t="s">
        <v>172</v>
      </c>
      <c r="C6" s="1592" t="s">
        <v>546</v>
      </c>
      <c r="D6" s="1595" t="s">
        <v>1274</v>
      </c>
      <c r="E6" s="1595"/>
      <c r="F6" s="1595"/>
      <c r="G6" s="1595"/>
      <c r="H6" s="1595"/>
      <c r="I6" s="1595"/>
      <c r="J6" s="1595"/>
      <c r="K6" s="1595"/>
      <c r="L6" s="1596"/>
    </row>
    <row r="7" spans="1:12" ht="18.75" customHeight="1">
      <c r="A7" s="1608"/>
      <c r="B7" s="1611"/>
      <c r="C7" s="1593"/>
      <c r="D7" s="1597" t="s">
        <v>1299</v>
      </c>
      <c r="E7" s="1597" t="s">
        <v>1275</v>
      </c>
      <c r="F7" s="1597" t="s">
        <v>93</v>
      </c>
      <c r="G7" s="1085" t="s">
        <v>1344</v>
      </c>
      <c r="H7" s="1597" t="s">
        <v>1276</v>
      </c>
      <c r="I7" s="1597" t="s">
        <v>161</v>
      </c>
      <c r="J7" s="1599" t="s">
        <v>944</v>
      </c>
      <c r="K7" s="1599"/>
      <c r="L7" s="1600"/>
    </row>
    <row r="8" spans="1:12" ht="22.5" customHeight="1">
      <c r="A8" s="1608"/>
      <c r="B8" s="1611"/>
      <c r="C8" s="1593"/>
      <c r="D8" s="1597"/>
      <c r="E8" s="1597"/>
      <c r="F8" s="1597"/>
      <c r="G8" s="1601" t="s">
        <v>932</v>
      </c>
      <c r="H8" s="1597"/>
      <c r="I8" s="1597"/>
      <c r="J8" s="1597" t="s">
        <v>1277</v>
      </c>
      <c r="K8" s="1597" t="s">
        <v>1278</v>
      </c>
      <c r="L8" s="1604" t="s">
        <v>83</v>
      </c>
    </row>
    <row r="9" spans="1:12" ht="18" customHeight="1">
      <c r="A9" s="1609"/>
      <c r="B9" s="1612"/>
      <c r="C9" s="1594"/>
      <c r="D9" s="1598"/>
      <c r="E9" s="1598"/>
      <c r="F9" s="1598"/>
      <c r="G9" s="1602"/>
      <c r="H9" s="1598"/>
      <c r="I9" s="1598"/>
      <c r="J9" s="1598"/>
      <c r="K9" s="1598"/>
      <c r="L9" s="1605"/>
    </row>
    <row r="10" spans="1:12" ht="15">
      <c r="A10" s="286" t="s">
        <v>950</v>
      </c>
      <c r="B10" s="218" t="s">
        <v>657</v>
      </c>
      <c r="C10" s="219">
        <f>SUM(C26,C11,C27,C28)</f>
        <v>837544.203</v>
      </c>
      <c r="D10" s="220"/>
      <c r="E10" s="220"/>
      <c r="F10" s="219">
        <f>SUM(C10)</f>
        <v>837544.203</v>
      </c>
      <c r="G10" s="219"/>
      <c r="H10" s="220"/>
      <c r="I10" s="220"/>
      <c r="J10" s="220"/>
      <c r="K10" s="220"/>
      <c r="L10" s="221"/>
    </row>
    <row r="11" spans="1:12" ht="15">
      <c r="A11" s="335" t="s">
        <v>194</v>
      </c>
      <c r="B11" s="297" t="s">
        <v>658</v>
      </c>
      <c r="C11" s="298">
        <f>SUM(C12:C25)</f>
        <v>401313</v>
      </c>
      <c r="D11" s="299"/>
      <c r="E11" s="299"/>
      <c r="F11" s="300">
        <f>SUM(C11)</f>
        <v>401313</v>
      </c>
      <c r="G11" s="300"/>
      <c r="H11" s="299"/>
      <c r="I11" s="299"/>
      <c r="J11" s="299"/>
      <c r="K11" s="299"/>
      <c r="L11" s="301"/>
    </row>
    <row r="12" spans="1:12" ht="15">
      <c r="A12" s="289"/>
      <c r="B12" s="190" t="s">
        <v>1528</v>
      </c>
      <c r="C12" s="43">
        <f>SUM('5.a melléklet'!I9)</f>
        <v>4555</v>
      </c>
      <c r="D12" s="225"/>
      <c r="E12" s="225"/>
      <c r="F12" s="223">
        <f aca="true" t="shared" si="0" ref="F12:F31">SUM(C12)</f>
        <v>4555</v>
      </c>
      <c r="G12" s="223"/>
      <c r="H12" s="225"/>
      <c r="I12" s="225"/>
      <c r="J12" s="225"/>
      <c r="K12" s="225"/>
      <c r="L12" s="226"/>
    </row>
    <row r="13" spans="1:12" ht="15">
      <c r="A13" s="289"/>
      <c r="B13" s="259" t="s">
        <v>1529</v>
      </c>
      <c r="C13" s="43">
        <f>SUM('5.a melléklet'!I10)</f>
        <v>9574</v>
      </c>
      <c r="D13" s="225"/>
      <c r="E13" s="225"/>
      <c r="F13" s="223">
        <f t="shared" si="0"/>
        <v>9574</v>
      </c>
      <c r="G13" s="223"/>
      <c r="H13" s="225"/>
      <c r="I13" s="225"/>
      <c r="J13" s="225"/>
      <c r="K13" s="225"/>
      <c r="L13" s="226"/>
    </row>
    <row r="14" spans="1:12" ht="15">
      <c r="A14" s="289"/>
      <c r="B14" s="190" t="s">
        <v>137</v>
      </c>
      <c r="C14" s="43">
        <f>SUM('5.a melléklet'!I11)</f>
        <v>26747</v>
      </c>
      <c r="D14" s="225"/>
      <c r="E14" s="225"/>
      <c r="F14" s="223">
        <f t="shared" si="0"/>
        <v>26747</v>
      </c>
      <c r="G14" s="223"/>
      <c r="H14" s="225"/>
      <c r="I14" s="225"/>
      <c r="J14" s="225"/>
      <c r="K14" s="225"/>
      <c r="L14" s="226"/>
    </row>
    <row r="15" spans="1:12" ht="15">
      <c r="A15" s="289"/>
      <c r="B15" s="190" t="s">
        <v>1530</v>
      </c>
      <c r="C15" s="43">
        <f>SUM('5.a melléklet'!I12)</f>
        <v>22099</v>
      </c>
      <c r="D15" s="225"/>
      <c r="E15" s="225"/>
      <c r="F15" s="223">
        <f t="shared" si="0"/>
        <v>22099</v>
      </c>
      <c r="G15" s="223"/>
      <c r="H15" s="225"/>
      <c r="I15" s="225"/>
      <c r="J15" s="225"/>
      <c r="K15" s="225"/>
      <c r="L15" s="226"/>
    </row>
    <row r="16" spans="1:12" ht="15">
      <c r="A16" s="289"/>
      <c r="B16" s="190" t="s">
        <v>1531</v>
      </c>
      <c r="C16" s="43">
        <f>SUM('5.a melléklet'!I13)</f>
        <v>18418</v>
      </c>
      <c r="D16" s="225"/>
      <c r="E16" s="225"/>
      <c r="F16" s="223">
        <f t="shared" si="0"/>
        <v>18418</v>
      </c>
      <c r="G16" s="223"/>
      <c r="H16" s="225"/>
      <c r="I16" s="225"/>
      <c r="J16" s="225"/>
      <c r="K16" s="225"/>
      <c r="L16" s="226"/>
    </row>
    <row r="17" spans="1:12" ht="15">
      <c r="A17" s="289"/>
      <c r="B17" s="190" t="s">
        <v>1532</v>
      </c>
      <c r="C17" s="43">
        <f>SUM('5.a melléklet'!I14)</f>
        <v>17728</v>
      </c>
      <c r="D17" s="225"/>
      <c r="E17" s="225"/>
      <c r="F17" s="223">
        <f t="shared" si="0"/>
        <v>17728</v>
      </c>
      <c r="G17" s="223"/>
      <c r="H17" s="225"/>
      <c r="I17" s="225"/>
      <c r="J17" s="225"/>
      <c r="K17" s="225"/>
      <c r="L17" s="226"/>
    </row>
    <row r="18" spans="1:12" ht="15">
      <c r="A18" s="289"/>
      <c r="B18" s="190" t="s">
        <v>1533</v>
      </c>
      <c r="C18" s="43">
        <f>SUM('5.a melléklet'!I15)</f>
        <v>14073</v>
      </c>
      <c r="D18" s="225"/>
      <c r="E18" s="225"/>
      <c r="F18" s="223">
        <f t="shared" si="0"/>
        <v>14073</v>
      </c>
      <c r="G18" s="223"/>
      <c r="H18" s="225"/>
      <c r="I18" s="225"/>
      <c r="J18" s="225"/>
      <c r="K18" s="225"/>
      <c r="L18" s="226"/>
    </row>
    <row r="19" spans="1:12" ht="15">
      <c r="A19" s="289"/>
      <c r="B19" s="190" t="s">
        <v>1534</v>
      </c>
      <c r="C19" s="43">
        <f>SUM('5.a melléklet'!I16)</f>
        <v>40025</v>
      </c>
      <c r="D19" s="225"/>
      <c r="E19" s="225"/>
      <c r="F19" s="223">
        <f t="shared" si="0"/>
        <v>40025</v>
      </c>
      <c r="G19" s="223"/>
      <c r="H19" s="225"/>
      <c r="I19" s="225"/>
      <c r="J19" s="225"/>
      <c r="K19" s="225"/>
      <c r="L19" s="226"/>
    </row>
    <row r="20" spans="1:12" ht="15">
      <c r="A20" s="289"/>
      <c r="B20" s="259" t="s">
        <v>1535</v>
      </c>
      <c r="C20" s="43">
        <f>SUM('5.a melléklet'!I17)</f>
        <v>71960</v>
      </c>
      <c r="D20" s="225"/>
      <c r="E20" s="225"/>
      <c r="F20" s="223">
        <f t="shared" si="0"/>
        <v>71960</v>
      </c>
      <c r="G20" s="223"/>
      <c r="H20" s="225"/>
      <c r="I20" s="225"/>
      <c r="J20" s="225"/>
      <c r="K20" s="225"/>
      <c r="L20" s="226"/>
    </row>
    <row r="21" spans="1:12" ht="15">
      <c r="A21" s="289"/>
      <c r="B21" s="259" t="s">
        <v>1536</v>
      </c>
      <c r="C21" s="43">
        <f>SUM('5.a melléklet'!I18)</f>
        <v>34658</v>
      </c>
      <c r="D21" s="225"/>
      <c r="E21" s="225"/>
      <c r="F21" s="223">
        <f t="shared" si="0"/>
        <v>34658</v>
      </c>
      <c r="G21" s="223"/>
      <c r="H21" s="225"/>
      <c r="I21" s="225"/>
      <c r="J21" s="225"/>
      <c r="K21" s="225"/>
      <c r="L21" s="226"/>
    </row>
    <row r="22" spans="1:12" ht="15">
      <c r="A22" s="289"/>
      <c r="B22" s="259" t="s">
        <v>243</v>
      </c>
      <c r="C22" s="43">
        <f>SUM('5.a melléklet'!I19)</f>
        <v>20499</v>
      </c>
      <c r="D22" s="225"/>
      <c r="E22" s="225"/>
      <c r="F22" s="223">
        <f t="shared" si="0"/>
        <v>20499</v>
      </c>
      <c r="G22" s="223"/>
      <c r="H22" s="225"/>
      <c r="I22" s="225"/>
      <c r="J22" s="225"/>
      <c r="K22" s="225"/>
      <c r="L22" s="226"/>
    </row>
    <row r="23" spans="1:12" ht="15">
      <c r="A23" s="289"/>
      <c r="B23" s="259" t="s">
        <v>135</v>
      </c>
      <c r="C23" s="43">
        <f>SUM('5.a melléklet'!I20)</f>
        <v>50216</v>
      </c>
      <c r="D23" s="225"/>
      <c r="E23" s="225"/>
      <c r="F23" s="223">
        <f t="shared" si="0"/>
        <v>50216</v>
      </c>
      <c r="G23" s="223"/>
      <c r="H23" s="225"/>
      <c r="I23" s="225"/>
      <c r="J23" s="225"/>
      <c r="K23" s="225"/>
      <c r="L23" s="226"/>
    </row>
    <row r="24" spans="1:12" ht="15">
      <c r="A24" s="289"/>
      <c r="B24" s="190" t="s">
        <v>1537</v>
      </c>
      <c r="C24" s="43">
        <f>SUM('5.a melléklet'!I21)</f>
        <v>34421</v>
      </c>
      <c r="D24" s="225"/>
      <c r="E24" s="225"/>
      <c r="F24" s="223">
        <f t="shared" si="0"/>
        <v>34421</v>
      </c>
      <c r="G24" s="223"/>
      <c r="H24" s="225"/>
      <c r="I24" s="225"/>
      <c r="J24" s="225"/>
      <c r="K24" s="225"/>
      <c r="L24" s="226"/>
    </row>
    <row r="25" spans="1:12" ht="15">
      <c r="A25" s="289"/>
      <c r="B25" s="190" t="s">
        <v>136</v>
      </c>
      <c r="C25" s="43">
        <f>SUM('5.a melléklet'!I22)</f>
        <v>36340</v>
      </c>
      <c r="D25" s="225"/>
      <c r="E25" s="225"/>
      <c r="F25" s="223">
        <f t="shared" si="0"/>
        <v>36340</v>
      </c>
      <c r="G25" s="223"/>
      <c r="H25" s="225"/>
      <c r="I25" s="225"/>
      <c r="J25" s="225"/>
      <c r="K25" s="225"/>
      <c r="L25" s="226"/>
    </row>
    <row r="26" spans="1:12" ht="15">
      <c r="A26" s="289" t="s">
        <v>196</v>
      </c>
      <c r="B26" s="1087" t="s">
        <v>235</v>
      </c>
      <c r="C26" s="1086">
        <f>SUM('5.a melléklet'!I23)</f>
        <v>301009.20300000004</v>
      </c>
      <c r="D26" s="245"/>
      <c r="E26" s="245"/>
      <c r="F26" s="222">
        <f t="shared" si="0"/>
        <v>301009.20300000004</v>
      </c>
      <c r="G26" s="222"/>
      <c r="H26" s="245"/>
      <c r="I26" s="225"/>
      <c r="J26" s="225"/>
      <c r="K26" s="225"/>
      <c r="L26" s="226"/>
    </row>
    <row r="27" spans="1:12" ht="15">
      <c r="A27" s="289" t="s">
        <v>257</v>
      </c>
      <c r="B27" s="239" t="s">
        <v>236</v>
      </c>
      <c r="C27" s="234">
        <f>SUM('5.a melléklet'!H24)</f>
        <v>115950</v>
      </c>
      <c r="D27" s="225"/>
      <c r="E27" s="225"/>
      <c r="F27" s="222">
        <f t="shared" si="0"/>
        <v>115950</v>
      </c>
      <c r="G27" s="222"/>
      <c r="H27" s="225"/>
      <c r="I27" s="225"/>
      <c r="J27" s="225"/>
      <c r="K27" s="225"/>
      <c r="L27" s="226"/>
    </row>
    <row r="28" spans="1:12" ht="15">
      <c r="A28" s="289" t="s">
        <v>1345</v>
      </c>
      <c r="B28" s="239" t="s">
        <v>653</v>
      </c>
      <c r="C28" s="234">
        <f>SUM(C29:C31)</f>
        <v>19272</v>
      </c>
      <c r="D28" s="225"/>
      <c r="E28" s="225"/>
      <c r="F28" s="222">
        <f t="shared" si="0"/>
        <v>19272</v>
      </c>
      <c r="G28" s="222"/>
      <c r="H28" s="225"/>
      <c r="I28" s="225"/>
      <c r="J28" s="225"/>
      <c r="K28" s="225"/>
      <c r="L28" s="226"/>
    </row>
    <row r="29" spans="1:12" ht="15">
      <c r="A29" s="289"/>
      <c r="B29" s="194" t="s">
        <v>654</v>
      </c>
      <c r="C29" s="235">
        <f>SUM('5.a melléklet'!I26)</f>
        <v>6773</v>
      </c>
      <c r="D29" s="225"/>
      <c r="E29" s="225"/>
      <c r="F29" s="223">
        <f t="shared" si="0"/>
        <v>6773</v>
      </c>
      <c r="G29" s="223"/>
      <c r="H29" s="225"/>
      <c r="I29" s="225"/>
      <c r="J29" s="225"/>
      <c r="K29" s="225"/>
      <c r="L29" s="226"/>
    </row>
    <row r="30" spans="1:12" ht="15">
      <c r="A30" s="289"/>
      <c r="B30" s="194" t="s">
        <v>655</v>
      </c>
      <c r="C30" s="235">
        <f>SUM('5.a melléklet'!I27)</f>
        <v>2999</v>
      </c>
      <c r="D30" s="225"/>
      <c r="E30" s="225"/>
      <c r="F30" s="223">
        <f t="shared" si="0"/>
        <v>2999</v>
      </c>
      <c r="G30" s="223"/>
      <c r="H30" s="225"/>
      <c r="I30" s="225"/>
      <c r="J30" s="225"/>
      <c r="K30" s="225"/>
      <c r="L30" s="226"/>
    </row>
    <row r="31" spans="1:12" ht="15">
      <c r="A31" s="289"/>
      <c r="B31" s="194" t="s">
        <v>659</v>
      </c>
      <c r="C31" s="235">
        <f>SUM('5.a melléklet'!I28)</f>
        <v>9500</v>
      </c>
      <c r="D31" s="225"/>
      <c r="E31" s="225"/>
      <c r="F31" s="223">
        <f t="shared" si="0"/>
        <v>9500</v>
      </c>
      <c r="G31" s="223"/>
      <c r="H31" s="225"/>
      <c r="I31" s="225"/>
      <c r="J31" s="225"/>
      <c r="K31" s="225"/>
      <c r="L31" s="226"/>
    </row>
    <row r="32" spans="1:12" ht="15">
      <c r="A32" s="290" t="s">
        <v>951</v>
      </c>
      <c r="B32" s="244" t="s">
        <v>660</v>
      </c>
      <c r="C32" s="219">
        <f aca="true" t="shared" si="1" ref="C32:L32">SUM(C33,C44,C53,C63,C71,C75,C80,C87,C92,C94)</f>
        <v>1031158</v>
      </c>
      <c r="D32" s="219">
        <f t="shared" si="1"/>
        <v>0</v>
      </c>
      <c r="E32" s="219">
        <f t="shared" si="1"/>
        <v>0</v>
      </c>
      <c r="F32" s="219">
        <f t="shared" si="1"/>
        <v>823338</v>
      </c>
      <c r="G32" s="219">
        <f t="shared" si="1"/>
        <v>92739</v>
      </c>
      <c r="H32" s="219">
        <f t="shared" si="1"/>
        <v>207820</v>
      </c>
      <c r="I32" s="219">
        <f t="shared" si="1"/>
        <v>0</v>
      </c>
      <c r="J32" s="219">
        <f t="shared" si="1"/>
        <v>0</v>
      </c>
      <c r="K32" s="219">
        <f t="shared" si="1"/>
        <v>0</v>
      </c>
      <c r="L32" s="233">
        <f t="shared" si="1"/>
        <v>0</v>
      </c>
    </row>
    <row r="33" spans="1:12" ht="15">
      <c r="A33" s="288" t="s">
        <v>194</v>
      </c>
      <c r="B33" s="240" t="s">
        <v>661</v>
      </c>
      <c r="C33" s="237">
        <f>SUM(C34:C43)</f>
        <v>109283</v>
      </c>
      <c r="D33" s="223"/>
      <c r="E33" s="223"/>
      <c r="F33" s="222">
        <f>SUM(F34:F43)</f>
        <v>109283</v>
      </c>
      <c r="G33" s="222">
        <f>SUM(G34:G43)</f>
        <v>82683</v>
      </c>
      <c r="H33" s="223"/>
      <c r="I33" s="223"/>
      <c r="J33" s="223"/>
      <c r="K33" s="223"/>
      <c r="L33" s="224"/>
    </row>
    <row r="34" spans="1:12" ht="15">
      <c r="A34" s="289"/>
      <c r="B34" s="194" t="s">
        <v>662</v>
      </c>
      <c r="C34" s="607">
        <v>33600</v>
      </c>
      <c r="D34" s="225"/>
      <c r="E34" s="225"/>
      <c r="F34" s="223">
        <f aca="true" t="shared" si="2" ref="F34:F39">SUM(C34)</f>
        <v>33600</v>
      </c>
      <c r="G34" s="223">
        <f>SUM(F34)</f>
        <v>33600</v>
      </c>
      <c r="H34" s="225"/>
      <c r="I34" s="225"/>
      <c r="J34" s="225"/>
      <c r="K34" s="225"/>
      <c r="L34" s="226"/>
    </row>
    <row r="35" spans="1:12" ht="15">
      <c r="A35" s="289"/>
      <c r="B35" s="194" t="s">
        <v>663</v>
      </c>
      <c r="C35" s="607">
        <v>22200</v>
      </c>
      <c r="D35" s="225"/>
      <c r="E35" s="225"/>
      <c r="F35" s="223">
        <f t="shared" si="2"/>
        <v>22200</v>
      </c>
      <c r="G35" s="223">
        <f>SUM(F35)</f>
        <v>22200</v>
      </c>
      <c r="H35" s="225"/>
      <c r="I35" s="225"/>
      <c r="J35" s="225"/>
      <c r="K35" s="225"/>
      <c r="L35" s="226"/>
    </row>
    <row r="36" spans="1:12" ht="15">
      <c r="A36" s="289"/>
      <c r="B36" s="194" t="s">
        <v>664</v>
      </c>
      <c r="C36" s="607">
        <v>8400</v>
      </c>
      <c r="D36" s="225"/>
      <c r="E36" s="225"/>
      <c r="F36" s="223">
        <f t="shared" si="2"/>
        <v>8400</v>
      </c>
      <c r="G36" s="223">
        <f>SUM(F36)</f>
        <v>8400</v>
      </c>
      <c r="H36" s="225"/>
      <c r="I36" s="225"/>
      <c r="J36" s="225"/>
      <c r="K36" s="225"/>
      <c r="L36" s="226"/>
    </row>
    <row r="37" spans="1:12" ht="15">
      <c r="A37" s="289"/>
      <c r="B37" s="194" t="s">
        <v>665</v>
      </c>
      <c r="C37" s="607">
        <v>6600</v>
      </c>
      <c r="D37" s="225"/>
      <c r="E37" s="225"/>
      <c r="F37" s="223">
        <f t="shared" si="2"/>
        <v>6600</v>
      </c>
      <c r="G37" s="223"/>
      <c r="H37" s="225"/>
      <c r="I37" s="225"/>
      <c r="J37" s="225"/>
      <c r="K37" s="225"/>
      <c r="L37" s="226"/>
    </row>
    <row r="38" spans="1:12" ht="15">
      <c r="A38" s="289"/>
      <c r="B38" s="194" t="s">
        <v>666</v>
      </c>
      <c r="C38" s="607">
        <v>5100</v>
      </c>
      <c r="D38" s="225"/>
      <c r="E38" s="225"/>
      <c r="F38" s="223">
        <f t="shared" si="2"/>
        <v>5100</v>
      </c>
      <c r="G38" s="223">
        <f>SUM(F38)</f>
        <v>5100</v>
      </c>
      <c r="H38" s="225"/>
      <c r="I38" s="225"/>
      <c r="J38" s="225"/>
      <c r="K38" s="225"/>
      <c r="L38" s="226"/>
    </row>
    <row r="39" spans="1:12" ht="15">
      <c r="A39" s="289"/>
      <c r="B39" s="194" t="s">
        <v>667</v>
      </c>
      <c r="C39" s="607">
        <v>3383</v>
      </c>
      <c r="D39" s="225"/>
      <c r="E39" s="225"/>
      <c r="F39" s="223">
        <f t="shared" si="2"/>
        <v>3383</v>
      </c>
      <c r="G39" s="223">
        <f>SUM(F39)</f>
        <v>3383</v>
      </c>
      <c r="H39" s="225"/>
      <c r="I39" s="225"/>
      <c r="J39" s="225"/>
      <c r="K39" s="225"/>
      <c r="L39" s="226"/>
    </row>
    <row r="40" spans="1:12" ht="15">
      <c r="A40" s="289"/>
      <c r="B40" s="194" t="s">
        <v>668</v>
      </c>
      <c r="C40" s="607">
        <v>11000</v>
      </c>
      <c r="D40" s="225"/>
      <c r="E40" s="225"/>
      <c r="F40" s="223">
        <f>SUM(C40)</f>
        <v>11000</v>
      </c>
      <c r="G40" s="223"/>
      <c r="H40" s="225"/>
      <c r="I40" s="225"/>
      <c r="J40" s="225"/>
      <c r="K40" s="225"/>
      <c r="L40" s="226"/>
    </row>
    <row r="41" spans="1:12" ht="15">
      <c r="A41" s="289"/>
      <c r="B41" s="194" t="s">
        <v>669</v>
      </c>
      <c r="C41" s="607">
        <v>10000</v>
      </c>
      <c r="D41" s="225"/>
      <c r="E41" s="225"/>
      <c r="F41" s="223">
        <f>SUM(C41)</f>
        <v>10000</v>
      </c>
      <c r="G41" s="223">
        <f>SUM(F41)</f>
        <v>10000</v>
      </c>
      <c r="H41" s="225"/>
      <c r="I41" s="225"/>
      <c r="J41" s="225"/>
      <c r="K41" s="225"/>
      <c r="L41" s="226"/>
    </row>
    <row r="42" spans="1:12" ht="15">
      <c r="A42" s="289"/>
      <c r="B42" s="194" t="s">
        <v>670</v>
      </c>
      <c r="C42" s="607">
        <v>5000</v>
      </c>
      <c r="D42" s="225"/>
      <c r="E42" s="225"/>
      <c r="F42" s="223">
        <f>SUM(C42)</f>
        <v>5000</v>
      </c>
      <c r="G42" s="223"/>
      <c r="H42" s="225"/>
      <c r="I42" s="225"/>
      <c r="J42" s="225"/>
      <c r="K42" s="225"/>
      <c r="L42" s="226"/>
    </row>
    <row r="43" spans="1:12" ht="15">
      <c r="A43" s="289"/>
      <c r="B43" s="194" t="s">
        <v>671</v>
      </c>
      <c r="C43" s="607">
        <v>4000</v>
      </c>
      <c r="D43" s="225"/>
      <c r="E43" s="225"/>
      <c r="F43" s="223">
        <f>SUM(C43)</f>
        <v>4000</v>
      </c>
      <c r="G43" s="223"/>
      <c r="H43" s="225"/>
      <c r="I43" s="225"/>
      <c r="J43" s="225"/>
      <c r="K43" s="225"/>
      <c r="L43" s="226"/>
    </row>
    <row r="44" spans="1:12" ht="15">
      <c r="A44" s="289" t="s">
        <v>196</v>
      </c>
      <c r="B44" s="239" t="s">
        <v>676</v>
      </c>
      <c r="C44" s="234">
        <f>SUM(C45:C52)</f>
        <v>179769</v>
      </c>
      <c r="D44" s="225"/>
      <c r="E44" s="225"/>
      <c r="F44" s="222">
        <f>SUM(F45:F52)</f>
        <v>179769</v>
      </c>
      <c r="G44" s="222"/>
      <c r="H44" s="225"/>
      <c r="I44" s="225"/>
      <c r="J44" s="225"/>
      <c r="K44" s="225"/>
      <c r="L44" s="226"/>
    </row>
    <row r="45" spans="1:12" ht="15">
      <c r="A45" s="289"/>
      <c r="B45" s="194" t="s">
        <v>677</v>
      </c>
      <c r="C45" s="607">
        <v>10000</v>
      </c>
      <c r="D45" s="225"/>
      <c r="E45" s="225"/>
      <c r="F45" s="223">
        <f aca="true" t="shared" si="3" ref="F45:F52">SUM(C45)</f>
        <v>10000</v>
      </c>
      <c r="G45" s="223"/>
      <c r="H45" s="225"/>
      <c r="I45" s="225"/>
      <c r="J45" s="225"/>
      <c r="K45" s="225"/>
      <c r="L45" s="226"/>
    </row>
    <row r="46" spans="1:12" ht="15">
      <c r="A46" s="289"/>
      <c r="B46" s="194" t="s">
        <v>678</v>
      </c>
      <c r="C46" s="607">
        <v>80755</v>
      </c>
      <c r="D46" s="225"/>
      <c r="E46" s="225"/>
      <c r="F46" s="223">
        <f t="shared" si="3"/>
        <v>80755</v>
      </c>
      <c r="G46" s="223"/>
      <c r="H46" s="225"/>
      <c r="I46" s="225"/>
      <c r="J46" s="225"/>
      <c r="K46" s="225"/>
      <c r="L46" s="226"/>
    </row>
    <row r="47" spans="1:12" ht="15">
      <c r="A47" s="289"/>
      <c r="B47" s="194" t="s">
        <v>679</v>
      </c>
      <c r="C47" s="607">
        <v>35514</v>
      </c>
      <c r="D47" s="225"/>
      <c r="E47" s="225"/>
      <c r="F47" s="223">
        <f t="shared" si="3"/>
        <v>35514</v>
      </c>
      <c r="G47" s="223"/>
      <c r="H47" s="225"/>
      <c r="I47" s="225"/>
      <c r="J47" s="225"/>
      <c r="K47" s="225"/>
      <c r="L47" s="226"/>
    </row>
    <row r="48" spans="1:12" ht="15">
      <c r="A48" s="289"/>
      <c r="B48" s="194" t="s">
        <v>680</v>
      </c>
      <c r="C48" s="607">
        <v>3000</v>
      </c>
      <c r="D48" s="225"/>
      <c r="E48" s="225"/>
      <c r="F48" s="223">
        <f t="shared" si="3"/>
        <v>3000</v>
      </c>
      <c r="G48" s="223"/>
      <c r="H48" s="225"/>
      <c r="I48" s="225"/>
      <c r="J48" s="225"/>
      <c r="K48" s="225"/>
      <c r="L48" s="226"/>
    </row>
    <row r="49" spans="1:12" ht="15">
      <c r="A49" s="289"/>
      <c r="B49" s="194" t="s">
        <v>681</v>
      </c>
      <c r="C49" s="607">
        <v>8500</v>
      </c>
      <c r="D49" s="225"/>
      <c r="E49" s="225"/>
      <c r="F49" s="223">
        <f t="shared" si="3"/>
        <v>8500</v>
      </c>
      <c r="G49" s="223"/>
      <c r="H49" s="225"/>
      <c r="I49" s="225"/>
      <c r="J49" s="225"/>
      <c r="K49" s="225"/>
      <c r="L49" s="226"/>
    </row>
    <row r="50" spans="1:12" ht="15">
      <c r="A50" s="289"/>
      <c r="B50" s="194" t="s">
        <v>682</v>
      </c>
      <c r="C50" s="607">
        <v>30000</v>
      </c>
      <c r="D50" s="225"/>
      <c r="E50" s="225"/>
      <c r="F50" s="223">
        <f t="shared" si="3"/>
        <v>30000</v>
      </c>
      <c r="G50" s="223"/>
      <c r="H50" s="225"/>
      <c r="I50" s="225"/>
      <c r="J50" s="225"/>
      <c r="K50" s="225"/>
      <c r="L50" s="226"/>
    </row>
    <row r="51" spans="1:12" ht="15">
      <c r="A51" s="289"/>
      <c r="B51" s="194" t="s">
        <v>683</v>
      </c>
      <c r="C51" s="607">
        <v>2000</v>
      </c>
      <c r="D51" s="225"/>
      <c r="E51" s="225"/>
      <c r="F51" s="223">
        <f t="shared" si="3"/>
        <v>2000</v>
      </c>
      <c r="G51" s="223"/>
      <c r="H51" s="225"/>
      <c r="I51" s="225"/>
      <c r="J51" s="225"/>
      <c r="K51" s="225"/>
      <c r="L51" s="226"/>
    </row>
    <row r="52" spans="1:12" ht="15">
      <c r="A52" s="289"/>
      <c r="B52" s="194" t="s">
        <v>684</v>
      </c>
      <c r="C52" s="607">
        <v>10000</v>
      </c>
      <c r="D52" s="225"/>
      <c r="E52" s="225"/>
      <c r="F52" s="223">
        <f t="shared" si="3"/>
        <v>10000</v>
      </c>
      <c r="G52" s="223"/>
      <c r="H52" s="225"/>
      <c r="I52" s="225"/>
      <c r="J52" s="225"/>
      <c r="K52" s="225"/>
      <c r="L52" s="226"/>
    </row>
    <row r="53" spans="1:12" ht="15">
      <c r="A53" s="289" t="s">
        <v>257</v>
      </c>
      <c r="B53" s="239" t="s">
        <v>685</v>
      </c>
      <c r="C53" s="234">
        <f>SUM(C54:C62)</f>
        <v>37540</v>
      </c>
      <c r="D53" s="225"/>
      <c r="E53" s="225"/>
      <c r="F53" s="222">
        <f>SUM(F54:F62)</f>
        <v>37540</v>
      </c>
      <c r="G53" s="222">
        <f>SUM(G54:G62)</f>
        <v>456</v>
      </c>
      <c r="H53" s="225"/>
      <c r="I53" s="234">
        <f>SUM(I54:I62)</f>
        <v>0</v>
      </c>
      <c r="J53" s="234">
        <f>SUM(J54:J62)</f>
        <v>0</v>
      </c>
      <c r="K53" s="234">
        <f>SUM(K54:K62)</f>
        <v>0</v>
      </c>
      <c r="L53" s="247">
        <f>SUM(L54:L62)</f>
        <v>0</v>
      </c>
    </row>
    <row r="54" spans="1:12" ht="15">
      <c r="A54" s="289"/>
      <c r="B54" s="194" t="s">
        <v>686</v>
      </c>
      <c r="C54" s="607">
        <v>2088</v>
      </c>
      <c r="D54" s="225"/>
      <c r="E54" s="225"/>
      <c r="F54" s="223">
        <f aca="true" t="shared" si="4" ref="F54:F62">SUM(C54)</f>
        <v>2088</v>
      </c>
      <c r="G54" s="223"/>
      <c r="H54" s="225"/>
      <c r="I54" s="225"/>
      <c r="J54" s="225"/>
      <c r="K54" s="225"/>
      <c r="L54" s="226"/>
    </row>
    <row r="55" spans="1:12" ht="15">
      <c r="A55" s="289"/>
      <c r="B55" s="194" t="s">
        <v>246</v>
      </c>
      <c r="C55" s="607">
        <v>456</v>
      </c>
      <c r="D55" s="225"/>
      <c r="E55" s="225"/>
      <c r="F55" s="223">
        <f t="shared" si="4"/>
        <v>456</v>
      </c>
      <c r="G55" s="223">
        <f>SUM(F55)</f>
        <v>456</v>
      </c>
      <c r="H55" s="225"/>
      <c r="I55" s="225"/>
      <c r="J55" s="225"/>
      <c r="K55" s="225"/>
      <c r="L55" s="226"/>
    </row>
    <row r="56" spans="1:12" ht="15">
      <c r="A56" s="289"/>
      <c r="B56" s="194" t="s">
        <v>687</v>
      </c>
      <c r="C56" s="607">
        <v>10000</v>
      </c>
      <c r="D56" s="225"/>
      <c r="E56" s="225"/>
      <c r="F56" s="223">
        <f t="shared" si="4"/>
        <v>10000</v>
      </c>
      <c r="G56" s="223"/>
      <c r="H56" s="225"/>
      <c r="I56" s="225"/>
      <c r="J56" s="225"/>
      <c r="K56" s="225"/>
      <c r="L56" s="226"/>
    </row>
    <row r="57" spans="1:12" ht="15">
      <c r="A57" s="289"/>
      <c r="B57" s="194" t="s">
        <v>688</v>
      </c>
      <c r="C57" s="607">
        <v>14476</v>
      </c>
      <c r="D57" s="225"/>
      <c r="E57" s="225"/>
      <c r="F57" s="223">
        <f t="shared" si="4"/>
        <v>14476</v>
      </c>
      <c r="G57" s="223"/>
      <c r="H57" s="225"/>
      <c r="I57" s="225"/>
      <c r="J57" s="225"/>
      <c r="K57" s="225"/>
      <c r="L57" s="226"/>
    </row>
    <row r="58" spans="1:12" ht="15">
      <c r="A58" s="289"/>
      <c r="B58" s="194" t="s">
        <v>578</v>
      </c>
      <c r="C58" s="607">
        <v>1420</v>
      </c>
      <c r="D58" s="225"/>
      <c r="E58" s="225"/>
      <c r="F58" s="223">
        <f t="shared" si="4"/>
        <v>1420</v>
      </c>
      <c r="G58" s="223"/>
      <c r="H58" s="225"/>
      <c r="I58" s="225"/>
      <c r="J58" s="225"/>
      <c r="K58" s="225"/>
      <c r="L58" s="226"/>
    </row>
    <row r="59" spans="1:12" ht="15">
      <c r="A59" s="289"/>
      <c r="B59" s="194" t="s">
        <v>776</v>
      </c>
      <c r="C59" s="607">
        <v>2500</v>
      </c>
      <c r="D59" s="225"/>
      <c r="E59" s="225"/>
      <c r="F59" s="223">
        <f t="shared" si="4"/>
        <v>2500</v>
      </c>
      <c r="G59" s="223"/>
      <c r="H59" s="225"/>
      <c r="I59" s="225"/>
      <c r="J59" s="225"/>
      <c r="K59" s="225"/>
      <c r="L59" s="226"/>
    </row>
    <row r="60" spans="1:12" ht="15">
      <c r="A60" s="289"/>
      <c r="B60" s="194" t="s">
        <v>777</v>
      </c>
      <c r="C60" s="607">
        <v>100</v>
      </c>
      <c r="D60" s="225"/>
      <c r="E60" s="225"/>
      <c r="F60" s="223">
        <f t="shared" si="4"/>
        <v>100</v>
      </c>
      <c r="G60" s="223"/>
      <c r="H60" s="225"/>
      <c r="I60" s="225"/>
      <c r="J60" s="225"/>
      <c r="K60" s="225"/>
      <c r="L60" s="226"/>
    </row>
    <row r="61" spans="1:12" ht="15">
      <c r="A61" s="289"/>
      <c r="B61" s="194" t="s">
        <v>778</v>
      </c>
      <c r="C61" s="607">
        <v>5000</v>
      </c>
      <c r="D61" s="225"/>
      <c r="E61" s="225"/>
      <c r="F61" s="223">
        <f t="shared" si="4"/>
        <v>5000</v>
      </c>
      <c r="G61" s="223"/>
      <c r="H61" s="225"/>
      <c r="I61" s="225"/>
      <c r="J61" s="225"/>
      <c r="K61" s="225"/>
      <c r="L61" s="226"/>
    </row>
    <row r="62" spans="1:12" ht="15">
      <c r="A62" s="289"/>
      <c r="B62" s="194" t="s">
        <v>779</v>
      </c>
      <c r="C62" s="607">
        <v>1500</v>
      </c>
      <c r="D62" s="225"/>
      <c r="E62" s="225"/>
      <c r="F62" s="223">
        <f t="shared" si="4"/>
        <v>1500</v>
      </c>
      <c r="G62" s="223"/>
      <c r="H62" s="225"/>
      <c r="I62" s="225"/>
      <c r="J62" s="225"/>
      <c r="K62" s="225"/>
      <c r="L62" s="226"/>
    </row>
    <row r="63" spans="1:12" ht="15">
      <c r="A63" s="289" t="s">
        <v>1345</v>
      </c>
      <c r="B63" s="239" t="s">
        <v>904</v>
      </c>
      <c r="C63" s="234">
        <f>SUM(C64:C70)</f>
        <v>216500</v>
      </c>
      <c r="D63" s="225"/>
      <c r="E63" s="225"/>
      <c r="F63" s="245">
        <f>SUM(F64:F70)</f>
        <v>216500</v>
      </c>
      <c r="G63" s="245"/>
      <c r="H63" s="225"/>
      <c r="I63" s="225"/>
      <c r="J63" s="225"/>
      <c r="K63" s="225"/>
      <c r="L63" s="226"/>
    </row>
    <row r="64" spans="1:12" ht="15">
      <c r="A64" s="289"/>
      <c r="B64" s="194" t="s">
        <v>780</v>
      </c>
      <c r="C64" s="607">
        <v>60000</v>
      </c>
      <c r="D64" s="225"/>
      <c r="E64" s="225"/>
      <c r="F64" s="225">
        <f aca="true" t="shared" si="5" ref="F64:F69">SUM(C64)</f>
        <v>60000</v>
      </c>
      <c r="G64" s="225"/>
      <c r="H64" s="225"/>
      <c r="I64" s="225"/>
      <c r="J64" s="225"/>
      <c r="K64" s="225"/>
      <c r="L64" s="226"/>
    </row>
    <row r="65" spans="1:12" ht="15">
      <c r="A65" s="289"/>
      <c r="B65" s="194" t="s">
        <v>781</v>
      </c>
      <c r="C65" s="607">
        <v>108000</v>
      </c>
      <c r="D65" s="225"/>
      <c r="E65" s="225"/>
      <c r="F65" s="225">
        <f t="shared" si="5"/>
        <v>108000</v>
      </c>
      <c r="G65" s="225"/>
      <c r="H65" s="225"/>
      <c r="I65" s="225"/>
      <c r="J65" s="225"/>
      <c r="K65" s="225"/>
      <c r="L65" s="226"/>
    </row>
    <row r="66" spans="1:12" ht="15">
      <c r="A66" s="289"/>
      <c r="B66" s="194" t="s">
        <v>782</v>
      </c>
      <c r="C66" s="607">
        <v>28000</v>
      </c>
      <c r="D66" s="225"/>
      <c r="E66" s="225"/>
      <c r="F66" s="225">
        <f t="shared" si="5"/>
        <v>28000</v>
      </c>
      <c r="G66" s="225"/>
      <c r="H66" s="225"/>
      <c r="I66" s="225"/>
      <c r="J66" s="225"/>
      <c r="K66" s="225"/>
      <c r="L66" s="226"/>
    </row>
    <row r="67" spans="1:12" ht="15">
      <c r="A67" s="289"/>
      <c r="B67" s="194" t="s">
        <v>783</v>
      </c>
      <c r="C67" s="607">
        <v>15000</v>
      </c>
      <c r="D67" s="225"/>
      <c r="E67" s="225"/>
      <c r="F67" s="225">
        <f t="shared" si="5"/>
        <v>15000</v>
      </c>
      <c r="G67" s="225"/>
      <c r="H67" s="225"/>
      <c r="I67" s="225"/>
      <c r="J67" s="225"/>
      <c r="K67" s="225"/>
      <c r="L67" s="226"/>
    </row>
    <row r="68" spans="1:12" ht="15">
      <c r="A68" s="289"/>
      <c r="B68" s="194" t="s">
        <v>248</v>
      </c>
      <c r="C68" s="607">
        <v>1500</v>
      </c>
      <c r="D68" s="225"/>
      <c r="E68" s="225"/>
      <c r="F68" s="225">
        <f t="shared" si="5"/>
        <v>1500</v>
      </c>
      <c r="G68" s="225"/>
      <c r="H68" s="225"/>
      <c r="I68" s="225"/>
      <c r="J68" s="225"/>
      <c r="K68" s="225"/>
      <c r="L68" s="226"/>
    </row>
    <row r="69" spans="1:12" ht="15">
      <c r="A69" s="289"/>
      <c r="B69" s="194" t="s">
        <v>784</v>
      </c>
      <c r="C69" s="607">
        <v>2000</v>
      </c>
      <c r="D69" s="225"/>
      <c r="E69" s="225"/>
      <c r="F69" s="225">
        <f t="shared" si="5"/>
        <v>2000</v>
      </c>
      <c r="G69" s="225"/>
      <c r="H69" s="225"/>
      <c r="I69" s="225"/>
      <c r="J69" s="225"/>
      <c r="K69" s="225"/>
      <c r="L69" s="226"/>
    </row>
    <row r="70" spans="1:12" ht="15">
      <c r="A70" s="289"/>
      <c r="B70" s="194" t="s">
        <v>247</v>
      </c>
      <c r="C70" s="607">
        <v>2000</v>
      </c>
      <c r="D70" s="225"/>
      <c r="E70" s="225"/>
      <c r="F70" s="225">
        <f>SUM(C70)</f>
        <v>2000</v>
      </c>
      <c r="G70" s="225"/>
      <c r="H70" s="225"/>
      <c r="I70" s="225"/>
      <c r="J70" s="225"/>
      <c r="K70" s="225"/>
      <c r="L70" s="226"/>
    </row>
    <row r="71" spans="1:12" ht="15">
      <c r="A71" s="289" t="s">
        <v>293</v>
      </c>
      <c r="B71" s="239" t="s">
        <v>905</v>
      </c>
      <c r="C71" s="234">
        <f>SUM(C72:C74)</f>
        <v>9600</v>
      </c>
      <c r="D71" s="225"/>
      <c r="E71" s="225"/>
      <c r="F71" s="245">
        <f>SUM(F72:F74)</f>
        <v>9600</v>
      </c>
      <c r="G71" s="245">
        <f>SUM(G72:G74)</f>
        <v>9600</v>
      </c>
      <c r="H71" s="225"/>
      <c r="I71" s="225"/>
      <c r="J71" s="225"/>
      <c r="K71" s="225"/>
      <c r="L71" s="226"/>
    </row>
    <row r="72" spans="1:12" ht="15">
      <c r="A72" s="289"/>
      <c r="B72" s="194" t="s">
        <v>785</v>
      </c>
      <c r="C72" s="607">
        <v>5000</v>
      </c>
      <c r="D72" s="225"/>
      <c r="E72" s="225"/>
      <c r="F72" s="225">
        <f aca="true" t="shared" si="6" ref="F72:F86">SUM(C72)</f>
        <v>5000</v>
      </c>
      <c r="G72" s="223">
        <f>SUM(F72)</f>
        <v>5000</v>
      </c>
      <c r="H72" s="225"/>
      <c r="I72" s="225"/>
      <c r="J72" s="225"/>
      <c r="K72" s="225"/>
      <c r="L72" s="226"/>
    </row>
    <row r="73" spans="1:12" ht="15">
      <c r="A73" s="289"/>
      <c r="B73" s="194" t="s">
        <v>786</v>
      </c>
      <c r="C73" s="607">
        <v>3100</v>
      </c>
      <c r="D73" s="225"/>
      <c r="E73" s="225"/>
      <c r="F73" s="225">
        <f t="shared" si="6"/>
        <v>3100</v>
      </c>
      <c r="G73" s="223">
        <f>SUM(F73)</f>
        <v>3100</v>
      </c>
      <c r="H73" s="225"/>
      <c r="I73" s="225"/>
      <c r="J73" s="225"/>
      <c r="K73" s="225"/>
      <c r="L73" s="226"/>
    </row>
    <row r="74" spans="1:12" ht="15">
      <c r="A74" s="289"/>
      <c r="B74" s="194" t="s">
        <v>787</v>
      </c>
      <c r="C74" s="607">
        <v>1500</v>
      </c>
      <c r="D74" s="225"/>
      <c r="E74" s="225"/>
      <c r="F74" s="225">
        <f t="shared" si="6"/>
        <v>1500</v>
      </c>
      <c r="G74" s="223">
        <f>SUM(F74)</f>
        <v>1500</v>
      </c>
      <c r="H74" s="225"/>
      <c r="I74" s="225"/>
      <c r="J74" s="225"/>
      <c r="K74" s="225"/>
      <c r="L74" s="226"/>
    </row>
    <row r="75" spans="1:12" ht="15">
      <c r="A75" s="289" t="s">
        <v>1058</v>
      </c>
      <c r="B75" s="239" t="s">
        <v>906</v>
      </c>
      <c r="C75" s="234">
        <f>SUM(C76:C79)</f>
        <v>190920</v>
      </c>
      <c r="D75" s="225"/>
      <c r="E75" s="225"/>
      <c r="F75" s="245">
        <f>SUM(F76:F79)</f>
        <v>190920</v>
      </c>
      <c r="G75" s="245"/>
      <c r="H75" s="225"/>
      <c r="I75" s="225"/>
      <c r="J75" s="225"/>
      <c r="K75" s="225"/>
      <c r="L75" s="226"/>
    </row>
    <row r="76" spans="1:12" ht="15">
      <c r="A76" s="289"/>
      <c r="B76" s="194" t="s">
        <v>788</v>
      </c>
      <c r="C76" s="607">
        <v>36660</v>
      </c>
      <c r="D76" s="225"/>
      <c r="E76" s="225"/>
      <c r="F76" s="225">
        <f t="shared" si="6"/>
        <v>36660</v>
      </c>
      <c r="G76" s="225"/>
      <c r="H76" s="225"/>
      <c r="I76" s="225"/>
      <c r="J76" s="225"/>
      <c r="K76" s="225"/>
      <c r="L76" s="226"/>
    </row>
    <row r="77" spans="1:12" ht="15">
      <c r="A77" s="289"/>
      <c r="B77" s="194" t="s">
        <v>789</v>
      </c>
      <c r="C77" s="607">
        <v>137480</v>
      </c>
      <c r="D77" s="225"/>
      <c r="E77" s="225"/>
      <c r="F77" s="225">
        <f t="shared" si="6"/>
        <v>137480</v>
      </c>
      <c r="G77" s="225"/>
      <c r="H77" s="225"/>
      <c r="I77" s="225"/>
      <c r="J77" s="225"/>
      <c r="K77" s="225"/>
      <c r="L77" s="226"/>
    </row>
    <row r="78" spans="1:12" ht="15">
      <c r="A78" s="289"/>
      <c r="B78" s="194" t="s">
        <v>790</v>
      </c>
      <c r="C78" s="607">
        <v>6780</v>
      </c>
      <c r="D78" s="225"/>
      <c r="E78" s="225"/>
      <c r="F78" s="225">
        <f t="shared" si="6"/>
        <v>6780</v>
      </c>
      <c r="G78" s="225"/>
      <c r="H78" s="225"/>
      <c r="I78" s="225"/>
      <c r="J78" s="225"/>
      <c r="K78" s="225"/>
      <c r="L78" s="226"/>
    </row>
    <row r="79" spans="1:12" ht="15">
      <c r="A79" s="289"/>
      <c r="B79" s="194" t="s">
        <v>791</v>
      </c>
      <c r="C79" s="607">
        <v>10000</v>
      </c>
      <c r="D79" s="225"/>
      <c r="E79" s="225"/>
      <c r="F79" s="225">
        <f t="shared" si="6"/>
        <v>10000</v>
      </c>
      <c r="G79" s="225"/>
      <c r="H79" s="225"/>
      <c r="I79" s="225"/>
      <c r="J79" s="225"/>
      <c r="K79" s="225"/>
      <c r="L79" s="226"/>
    </row>
    <row r="80" spans="1:12" ht="15">
      <c r="A80" s="289" t="s">
        <v>1060</v>
      </c>
      <c r="B80" s="239" t="s">
        <v>792</v>
      </c>
      <c r="C80" s="234">
        <f>SUM(C81:C86)</f>
        <v>15420</v>
      </c>
      <c r="D80" s="225"/>
      <c r="E80" s="225"/>
      <c r="F80" s="245">
        <f>SUM(F81:F86)</f>
        <v>7920</v>
      </c>
      <c r="G80" s="245"/>
      <c r="H80" s="245">
        <f>SUM(H81:H86)</f>
        <v>7500</v>
      </c>
      <c r="I80" s="225"/>
      <c r="J80" s="225"/>
      <c r="K80" s="225"/>
      <c r="L80" s="226"/>
    </row>
    <row r="81" spans="1:12" ht="15">
      <c r="A81" s="289"/>
      <c r="B81" s="194" t="s">
        <v>1315</v>
      </c>
      <c r="C81" s="607">
        <v>1500</v>
      </c>
      <c r="D81" s="225"/>
      <c r="E81" s="225"/>
      <c r="F81" s="225">
        <f t="shared" si="6"/>
        <v>1500</v>
      </c>
      <c r="G81" s="225"/>
      <c r="H81" s="225"/>
      <c r="I81" s="225"/>
      <c r="J81" s="225"/>
      <c r="K81" s="225"/>
      <c r="L81" s="226"/>
    </row>
    <row r="82" spans="1:12" ht="15">
      <c r="A82" s="289"/>
      <c r="B82" s="194" t="s">
        <v>793</v>
      </c>
      <c r="C82" s="607">
        <v>7500</v>
      </c>
      <c r="D82" s="225"/>
      <c r="E82" s="225"/>
      <c r="F82" s="225"/>
      <c r="G82" s="225"/>
      <c r="H82" s="225">
        <f>SUM(C82)</f>
        <v>7500</v>
      </c>
      <c r="I82" s="225"/>
      <c r="J82" s="225"/>
      <c r="K82" s="225"/>
      <c r="L82" s="226"/>
    </row>
    <row r="83" spans="1:12" ht="15">
      <c r="A83" s="289"/>
      <c r="B83" s="194" t="s">
        <v>794</v>
      </c>
      <c r="C83" s="607">
        <v>2300</v>
      </c>
      <c r="D83" s="225"/>
      <c r="E83" s="225"/>
      <c r="F83" s="225">
        <f t="shared" si="6"/>
        <v>2300</v>
      </c>
      <c r="G83" s="225"/>
      <c r="H83" s="225"/>
      <c r="I83" s="225"/>
      <c r="J83" s="225"/>
      <c r="K83" s="225"/>
      <c r="L83" s="226"/>
    </row>
    <row r="84" spans="1:12" ht="15">
      <c r="A84" s="289"/>
      <c r="B84" s="194" t="s">
        <v>795</v>
      </c>
      <c r="C84" s="607">
        <v>1600</v>
      </c>
      <c r="D84" s="225"/>
      <c r="E84" s="225"/>
      <c r="F84" s="225">
        <f t="shared" si="6"/>
        <v>1600</v>
      </c>
      <c r="G84" s="225"/>
      <c r="H84" s="225"/>
      <c r="I84" s="225"/>
      <c r="J84" s="225"/>
      <c r="K84" s="225"/>
      <c r="L84" s="226"/>
    </row>
    <row r="85" spans="1:12" ht="15">
      <c r="A85" s="289"/>
      <c r="B85" s="194" t="s">
        <v>796</v>
      </c>
      <c r="C85" s="607">
        <v>2270</v>
      </c>
      <c r="D85" s="225"/>
      <c r="E85" s="225"/>
      <c r="F85" s="225">
        <f t="shared" si="6"/>
        <v>2270</v>
      </c>
      <c r="G85" s="225"/>
      <c r="H85" s="225"/>
      <c r="I85" s="225"/>
      <c r="J85" s="225"/>
      <c r="K85" s="225"/>
      <c r="L85" s="226"/>
    </row>
    <row r="86" spans="1:12" ht="15">
      <c r="A86" s="289"/>
      <c r="B86" s="194" t="s">
        <v>797</v>
      </c>
      <c r="C86" s="607">
        <v>250</v>
      </c>
      <c r="D86" s="225"/>
      <c r="E86" s="225"/>
      <c r="F86" s="225">
        <f t="shared" si="6"/>
        <v>250</v>
      </c>
      <c r="G86" s="225"/>
      <c r="H86" s="225"/>
      <c r="I86" s="225"/>
      <c r="J86" s="225"/>
      <c r="K86" s="225"/>
      <c r="L86" s="226"/>
    </row>
    <row r="87" spans="1:12" ht="15">
      <c r="A87" s="289" t="s">
        <v>295</v>
      </c>
      <c r="B87" s="239" t="s">
        <v>798</v>
      </c>
      <c r="C87" s="234">
        <f>SUM(C88:C91)</f>
        <v>69806</v>
      </c>
      <c r="D87" s="225"/>
      <c r="E87" s="225"/>
      <c r="F87" s="245">
        <f>SUM(F88:F91)</f>
        <v>69806</v>
      </c>
      <c r="G87" s="245"/>
      <c r="H87" s="225"/>
      <c r="I87" s="225"/>
      <c r="J87" s="225"/>
      <c r="K87" s="225"/>
      <c r="L87" s="226"/>
    </row>
    <row r="88" spans="1:12" ht="15">
      <c r="A88" s="289"/>
      <c r="B88" s="194" t="s">
        <v>799</v>
      </c>
      <c r="C88" s="607">
        <f>40300+13606</f>
        <v>53906</v>
      </c>
      <c r="D88" s="225"/>
      <c r="E88" s="225"/>
      <c r="F88" s="225">
        <f aca="true" t="shared" si="7" ref="F88:F93">SUM(C88)</f>
        <v>53906</v>
      </c>
      <c r="G88" s="225"/>
      <c r="H88" s="225"/>
      <c r="I88" s="225"/>
      <c r="J88" s="225"/>
      <c r="K88" s="225"/>
      <c r="L88" s="226"/>
    </row>
    <row r="89" spans="1:12" ht="15">
      <c r="A89" s="289"/>
      <c r="B89" s="194" t="s">
        <v>1314</v>
      </c>
      <c r="C89" s="607">
        <v>100</v>
      </c>
      <c r="D89" s="225"/>
      <c r="E89" s="225"/>
      <c r="F89" s="225">
        <f t="shared" si="7"/>
        <v>100</v>
      </c>
      <c r="G89" s="225"/>
      <c r="H89" s="225"/>
      <c r="I89" s="225"/>
      <c r="J89" s="225"/>
      <c r="K89" s="225"/>
      <c r="L89" s="226"/>
    </row>
    <row r="90" spans="1:12" ht="15">
      <c r="A90" s="289"/>
      <c r="B90" s="194" t="s">
        <v>1316</v>
      </c>
      <c r="C90" s="607">
        <v>13000</v>
      </c>
      <c r="D90" s="225"/>
      <c r="E90" s="225"/>
      <c r="F90" s="225">
        <f t="shared" si="7"/>
        <v>13000</v>
      </c>
      <c r="G90" s="225"/>
      <c r="H90" s="225"/>
      <c r="I90" s="225"/>
      <c r="J90" s="225"/>
      <c r="K90" s="225"/>
      <c r="L90" s="226"/>
    </row>
    <row r="91" spans="1:12" ht="15">
      <c r="A91" s="289"/>
      <c r="B91" s="194" t="s">
        <v>988</v>
      </c>
      <c r="C91" s="607">
        <v>2800</v>
      </c>
      <c r="D91" s="225"/>
      <c r="E91" s="225"/>
      <c r="F91" s="225">
        <f t="shared" si="7"/>
        <v>2800</v>
      </c>
      <c r="G91" s="225"/>
      <c r="H91" s="225"/>
      <c r="I91" s="225"/>
      <c r="J91" s="225"/>
      <c r="K91" s="225"/>
      <c r="L91" s="226"/>
    </row>
    <row r="92" spans="1:12" ht="15">
      <c r="A92" s="289" t="s">
        <v>297</v>
      </c>
      <c r="B92" s="239" t="s">
        <v>989</v>
      </c>
      <c r="C92" s="608">
        <f>SUM(C93)</f>
        <v>1000</v>
      </c>
      <c r="D92" s="225"/>
      <c r="E92" s="225"/>
      <c r="F92" s="245">
        <f t="shared" si="7"/>
        <v>1000</v>
      </c>
      <c r="G92" s="245"/>
      <c r="H92" s="225"/>
      <c r="I92" s="225"/>
      <c r="J92" s="225"/>
      <c r="K92" s="225"/>
      <c r="L92" s="226"/>
    </row>
    <row r="93" spans="1:12" ht="15">
      <c r="A93" s="289"/>
      <c r="B93" s="194" t="s">
        <v>990</v>
      </c>
      <c r="C93" s="607">
        <v>1000</v>
      </c>
      <c r="D93" s="225"/>
      <c r="E93" s="225"/>
      <c r="F93" s="225">
        <f t="shared" si="7"/>
        <v>1000</v>
      </c>
      <c r="G93" s="225"/>
      <c r="H93" s="225"/>
      <c r="I93" s="225"/>
      <c r="J93" s="225"/>
      <c r="K93" s="225"/>
      <c r="L93" s="226"/>
    </row>
    <row r="94" spans="1:12" ht="15">
      <c r="A94" s="289" t="s">
        <v>298</v>
      </c>
      <c r="B94" s="239" t="s">
        <v>991</v>
      </c>
      <c r="C94" s="234">
        <f>SUM(C95:C100)</f>
        <v>201320</v>
      </c>
      <c r="D94" s="225"/>
      <c r="E94" s="225"/>
      <c r="F94" s="245">
        <f>SUM(F95:F100)</f>
        <v>1000</v>
      </c>
      <c r="G94" s="245"/>
      <c r="H94" s="245">
        <f>SUM(H95:H100)</f>
        <v>200320</v>
      </c>
      <c r="I94" s="225"/>
      <c r="J94" s="225"/>
      <c r="K94" s="225"/>
      <c r="L94" s="226"/>
    </row>
    <row r="95" spans="1:12" ht="15">
      <c r="A95" s="289"/>
      <c r="B95" s="194" t="s">
        <v>927</v>
      </c>
      <c r="C95" s="607">
        <v>2138</v>
      </c>
      <c r="D95" s="225"/>
      <c r="E95" s="225"/>
      <c r="F95" s="225"/>
      <c r="G95" s="225"/>
      <c r="H95" s="225">
        <f>SUM(C95)</f>
        <v>2138</v>
      </c>
      <c r="I95" s="225"/>
      <c r="J95" s="225"/>
      <c r="K95" s="225"/>
      <c r="L95" s="226"/>
    </row>
    <row r="96" spans="1:12" ht="15">
      <c r="A96" s="289"/>
      <c r="B96" s="194" t="s">
        <v>992</v>
      </c>
      <c r="C96" s="607">
        <v>68591</v>
      </c>
      <c r="D96" s="225"/>
      <c r="E96" s="225"/>
      <c r="F96" s="225"/>
      <c r="G96" s="225"/>
      <c r="H96" s="225">
        <f>SUM(C96)</f>
        <v>68591</v>
      </c>
      <c r="I96" s="225"/>
      <c r="J96" s="225"/>
      <c r="K96" s="225"/>
      <c r="L96" s="226"/>
    </row>
    <row r="97" spans="1:12" ht="15">
      <c r="A97" s="289"/>
      <c r="B97" s="194" t="s">
        <v>908</v>
      </c>
      <c r="C97" s="607">
        <v>1000</v>
      </c>
      <c r="D97" s="225"/>
      <c r="E97" s="225"/>
      <c r="F97" s="225">
        <f>SUM(C97)</f>
        <v>1000</v>
      </c>
      <c r="G97" s="225"/>
      <c r="H97" s="225"/>
      <c r="I97" s="225"/>
      <c r="J97" s="225"/>
      <c r="K97" s="225"/>
      <c r="L97" s="226"/>
    </row>
    <row r="98" spans="1:12" ht="15">
      <c r="A98" s="291"/>
      <c r="B98" s="194" t="s">
        <v>454</v>
      </c>
      <c r="C98" s="607">
        <v>50000</v>
      </c>
      <c r="D98" s="227"/>
      <c r="E98" s="227"/>
      <c r="F98" s="227"/>
      <c r="G98" s="227"/>
      <c r="H98" s="227">
        <f>SUM(C98)</f>
        <v>50000</v>
      </c>
      <c r="I98" s="227"/>
      <c r="J98" s="227"/>
      <c r="K98" s="227"/>
      <c r="L98" s="228"/>
    </row>
    <row r="99" spans="1:12" ht="15">
      <c r="A99" s="289"/>
      <c r="B99" s="331" t="s">
        <v>1318</v>
      </c>
      <c r="C99" s="607">
        <v>64591</v>
      </c>
      <c r="D99" s="235"/>
      <c r="E99" s="225"/>
      <c r="F99" s="225"/>
      <c r="G99" s="225"/>
      <c r="H99" s="225">
        <f>SUM(C99)</f>
        <v>64591</v>
      </c>
      <c r="I99" s="225"/>
      <c r="J99" s="225"/>
      <c r="K99" s="225"/>
      <c r="L99" s="226"/>
    </row>
    <row r="100" spans="1:12" ht="15">
      <c r="A100" s="418"/>
      <c r="B100" s="606" t="s">
        <v>1561</v>
      </c>
      <c r="C100" s="607">
        <v>15000</v>
      </c>
      <c r="D100" s="609"/>
      <c r="E100" s="609"/>
      <c r="F100" s="609"/>
      <c r="G100" s="229"/>
      <c r="H100" s="229">
        <f>SUM(C100)</f>
        <v>15000</v>
      </c>
      <c r="I100" s="609"/>
      <c r="J100" s="609"/>
      <c r="K100" s="609"/>
      <c r="L100" s="610"/>
    </row>
    <row r="101" spans="1:12" ht="15">
      <c r="A101" s="290" t="s">
        <v>198</v>
      </c>
      <c r="B101" s="218" t="s">
        <v>993</v>
      </c>
      <c r="C101" s="219">
        <f>SUM(C102:C107)</f>
        <v>57170</v>
      </c>
      <c r="D101" s="219">
        <f aca="true" t="shared" si="8" ref="D101:L101">SUM(D102:D107)</f>
        <v>3750</v>
      </c>
      <c r="E101" s="219">
        <f t="shared" si="8"/>
        <v>1170</v>
      </c>
      <c r="F101" s="219">
        <f t="shared" si="8"/>
        <v>52250</v>
      </c>
      <c r="G101" s="219"/>
      <c r="H101" s="219">
        <f t="shared" si="8"/>
        <v>0</v>
      </c>
      <c r="I101" s="219">
        <f t="shared" si="8"/>
        <v>0</v>
      </c>
      <c r="J101" s="219">
        <f t="shared" si="8"/>
        <v>0</v>
      </c>
      <c r="K101" s="219">
        <f t="shared" si="8"/>
        <v>0</v>
      </c>
      <c r="L101" s="233">
        <f t="shared" si="8"/>
        <v>0</v>
      </c>
    </row>
    <row r="102" spans="1:12" ht="15">
      <c r="A102" s="292"/>
      <c r="B102" s="262" t="s">
        <v>1317</v>
      </c>
      <c r="C102" s="611">
        <v>29000</v>
      </c>
      <c r="D102" s="223"/>
      <c r="E102" s="223"/>
      <c r="F102" s="223">
        <f>SUM(C102)</f>
        <v>29000</v>
      </c>
      <c r="G102" s="223"/>
      <c r="H102" s="223"/>
      <c r="I102" s="223"/>
      <c r="J102" s="223"/>
      <c r="K102" s="223"/>
      <c r="L102" s="224"/>
    </row>
    <row r="103" spans="1:12" ht="15">
      <c r="A103" s="293"/>
      <c r="B103" s="194" t="s">
        <v>909</v>
      </c>
      <c r="C103" s="607">
        <v>1750</v>
      </c>
      <c r="D103" s="225"/>
      <c r="E103" s="225"/>
      <c r="F103" s="223">
        <f>SUM(C103)</f>
        <v>1750</v>
      </c>
      <c r="G103" s="223"/>
      <c r="H103" s="225"/>
      <c r="I103" s="225"/>
      <c r="J103" s="225"/>
      <c r="K103" s="225"/>
      <c r="L103" s="226"/>
    </row>
    <row r="104" spans="1:12" ht="15">
      <c r="A104" s="293"/>
      <c r="B104" s="194" t="s">
        <v>994</v>
      </c>
      <c r="C104" s="607">
        <v>5000</v>
      </c>
      <c r="D104" s="225"/>
      <c r="E104" s="225"/>
      <c r="F104" s="223">
        <f>SUM(C104)</f>
        <v>5000</v>
      </c>
      <c r="G104" s="223"/>
      <c r="H104" s="225"/>
      <c r="I104" s="225"/>
      <c r="J104" s="225"/>
      <c r="K104" s="225"/>
      <c r="L104" s="226"/>
    </row>
    <row r="105" spans="1:12" ht="15">
      <c r="A105" s="293"/>
      <c r="B105" s="194" t="s">
        <v>995</v>
      </c>
      <c r="C105" s="607">
        <v>4920</v>
      </c>
      <c r="D105" s="225">
        <v>3750</v>
      </c>
      <c r="E105" s="225">
        <f>C105-D105</f>
        <v>1170</v>
      </c>
      <c r="F105" s="223"/>
      <c r="G105" s="223"/>
      <c r="H105" s="225"/>
      <c r="I105" s="225"/>
      <c r="J105" s="225"/>
      <c r="K105" s="225"/>
      <c r="L105" s="226"/>
    </row>
    <row r="106" spans="1:12" ht="15">
      <c r="A106" s="293"/>
      <c r="B106" s="194" t="s">
        <v>996</v>
      </c>
      <c r="C106" s="607">
        <v>14000</v>
      </c>
      <c r="D106" s="225"/>
      <c r="E106" s="225"/>
      <c r="F106" s="223">
        <f>SUM(C106)</f>
        <v>14000</v>
      </c>
      <c r="G106" s="223"/>
      <c r="H106" s="225"/>
      <c r="I106" s="225"/>
      <c r="J106" s="225"/>
      <c r="K106" s="225"/>
      <c r="L106" s="226"/>
    </row>
    <row r="107" spans="1:12" ht="15">
      <c r="A107" s="291"/>
      <c r="B107" s="294" t="s">
        <v>997</v>
      </c>
      <c r="C107" s="612">
        <v>2500</v>
      </c>
      <c r="D107" s="227"/>
      <c r="E107" s="227"/>
      <c r="F107" s="227">
        <f>SUM(C107)</f>
        <v>2500</v>
      </c>
      <c r="G107" s="227"/>
      <c r="H107" s="227"/>
      <c r="I107" s="227"/>
      <c r="J107" s="227"/>
      <c r="K107" s="227"/>
      <c r="L107" s="228"/>
    </row>
    <row r="108" spans="1:12" ht="15">
      <c r="A108" s="286" t="s">
        <v>259</v>
      </c>
      <c r="B108" s="218" t="s">
        <v>21</v>
      </c>
      <c r="C108" s="219">
        <f>SUM(C140,C131,C122,C115,C109)</f>
        <v>1117900</v>
      </c>
      <c r="D108" s="219">
        <f>SUM(D140,D131,D122,D115,D109)</f>
        <v>13637</v>
      </c>
      <c r="E108" s="219">
        <f>SUM(E140,E131,E122,E115,E109)</f>
        <v>4363</v>
      </c>
      <c r="F108" s="219">
        <f>SUM(F140,F131,F122,F115,F109)</f>
        <v>76900</v>
      </c>
      <c r="G108" s="219"/>
      <c r="H108" s="219">
        <f>SUM(H140,H131,H122,H115,H109)</f>
        <v>1023000</v>
      </c>
      <c r="I108" s="219">
        <f>SUM(I140,I131,I122,I115,I109)</f>
        <v>0</v>
      </c>
      <c r="J108" s="219">
        <f>SUM(J140,J131,J122,J115,J109)</f>
        <v>0</v>
      </c>
      <c r="K108" s="219">
        <f>SUM(K140,K131,K122,K115,K109)</f>
        <v>0</v>
      </c>
      <c r="L108" s="233">
        <f>SUM(L140,L131,L122,L115,L109)</f>
        <v>0</v>
      </c>
    </row>
    <row r="109" spans="1:12" ht="15">
      <c r="A109" s="288" t="s">
        <v>194</v>
      </c>
      <c r="B109" s="240" t="s">
        <v>998</v>
      </c>
      <c r="C109" s="237">
        <f>SUM(C110:C114)</f>
        <v>44800</v>
      </c>
      <c r="D109" s="237">
        <f>SUM(D110:D114)</f>
        <v>0</v>
      </c>
      <c r="E109" s="237">
        <f>SUM(E110:E114)</f>
        <v>0</v>
      </c>
      <c r="F109" s="237">
        <f>SUM(F110:F114)</f>
        <v>31500</v>
      </c>
      <c r="G109" s="237"/>
      <c r="H109" s="237">
        <f>SUM(H110:H114)</f>
        <v>13300</v>
      </c>
      <c r="I109" s="237">
        <f>SUM(I110:I114)</f>
        <v>0</v>
      </c>
      <c r="J109" s="237">
        <f>SUM(J110:J114)</f>
        <v>0</v>
      </c>
      <c r="K109" s="237">
        <f>SUM(K110:K114)</f>
        <v>0</v>
      </c>
      <c r="L109" s="246">
        <f>SUM(L110:L114)</f>
        <v>0</v>
      </c>
    </row>
    <row r="110" spans="1:12" ht="15">
      <c r="A110" s="289"/>
      <c r="B110" s="194" t="s">
        <v>927</v>
      </c>
      <c r="C110" s="607">
        <v>6800</v>
      </c>
      <c r="D110" s="225"/>
      <c r="E110" s="225"/>
      <c r="F110" s="225"/>
      <c r="G110" s="225"/>
      <c r="H110" s="225">
        <f>SUM(C110)</f>
        <v>6800</v>
      </c>
      <c r="I110" s="225"/>
      <c r="J110" s="225"/>
      <c r="K110" s="225"/>
      <c r="L110" s="226"/>
    </row>
    <row r="111" spans="1:12" ht="15">
      <c r="A111" s="289"/>
      <c r="B111" s="194" t="s">
        <v>999</v>
      </c>
      <c r="C111" s="607">
        <v>27500</v>
      </c>
      <c r="D111" s="225"/>
      <c r="E111" s="225"/>
      <c r="F111" s="304">
        <f>16000+10000</f>
        <v>26000</v>
      </c>
      <c r="G111" s="225"/>
      <c r="H111" s="225">
        <v>1500</v>
      </c>
      <c r="I111" s="225"/>
      <c r="J111" s="225"/>
      <c r="K111" s="225"/>
      <c r="L111" s="226"/>
    </row>
    <row r="112" spans="1:12" ht="15">
      <c r="A112" s="289"/>
      <c r="B112" s="194" t="s">
        <v>1000</v>
      </c>
      <c r="C112" s="607">
        <v>3500</v>
      </c>
      <c r="D112" s="225"/>
      <c r="E112" s="225"/>
      <c r="F112" s="225"/>
      <c r="G112" s="225"/>
      <c r="H112" s="225">
        <v>3500</v>
      </c>
      <c r="I112" s="225"/>
      <c r="J112" s="225"/>
      <c r="K112" s="225"/>
      <c r="L112" s="226"/>
    </row>
    <row r="113" spans="1:12" ht="15">
      <c r="A113" s="289"/>
      <c r="B113" s="194" t="s">
        <v>1001</v>
      </c>
      <c r="C113" s="607">
        <v>5500</v>
      </c>
      <c r="D113" s="225"/>
      <c r="E113" s="225"/>
      <c r="F113" s="225">
        <v>5500</v>
      </c>
      <c r="G113" s="225"/>
      <c r="H113" s="225"/>
      <c r="I113" s="225"/>
      <c r="J113" s="225"/>
      <c r="K113" s="225"/>
      <c r="L113" s="226"/>
    </row>
    <row r="114" spans="1:12" ht="15">
      <c r="A114" s="289"/>
      <c r="B114" s="194" t="s">
        <v>1553</v>
      </c>
      <c r="C114" s="607">
        <v>1500</v>
      </c>
      <c r="D114" s="225"/>
      <c r="E114" s="225"/>
      <c r="F114" s="225"/>
      <c r="G114" s="225"/>
      <c r="H114" s="225">
        <v>1500</v>
      </c>
      <c r="I114" s="225"/>
      <c r="J114" s="225"/>
      <c r="K114" s="225"/>
      <c r="L114" s="226"/>
    </row>
    <row r="115" spans="1:12" ht="15">
      <c r="A115" s="289" t="s">
        <v>196</v>
      </c>
      <c r="B115" s="239" t="s">
        <v>1002</v>
      </c>
      <c r="C115" s="1054">
        <f aca="true" t="shared" si="9" ref="C115:L115">SUM(C116:C121)</f>
        <v>355300</v>
      </c>
      <c r="D115" s="234">
        <f t="shared" si="9"/>
        <v>7046</v>
      </c>
      <c r="E115" s="234">
        <f t="shared" si="9"/>
        <v>2254</v>
      </c>
      <c r="F115" s="234">
        <f t="shared" si="9"/>
        <v>4000</v>
      </c>
      <c r="G115" s="234">
        <f t="shared" si="9"/>
        <v>0</v>
      </c>
      <c r="H115" s="234">
        <f t="shared" si="9"/>
        <v>342000</v>
      </c>
      <c r="I115" s="234">
        <f t="shared" si="9"/>
        <v>0</v>
      </c>
      <c r="J115" s="234">
        <f t="shared" si="9"/>
        <v>0</v>
      </c>
      <c r="K115" s="234">
        <f t="shared" si="9"/>
        <v>0</v>
      </c>
      <c r="L115" s="247">
        <f t="shared" si="9"/>
        <v>0</v>
      </c>
    </row>
    <row r="116" spans="1:12" ht="15">
      <c r="A116" s="289"/>
      <c r="B116" s="614" t="s">
        <v>927</v>
      </c>
      <c r="C116" s="607">
        <f>202000+21000</f>
        <v>223000</v>
      </c>
      <c r="D116" s="225"/>
      <c r="E116" s="225"/>
      <c r="F116" s="225"/>
      <c r="G116" s="225"/>
      <c r="H116" s="225">
        <f>SUM(C116)</f>
        <v>223000</v>
      </c>
      <c r="I116" s="225"/>
      <c r="J116" s="225"/>
      <c r="K116" s="225"/>
      <c r="L116" s="226"/>
    </row>
    <row r="117" spans="1:12" ht="15">
      <c r="A117" s="289"/>
      <c r="B117" s="614" t="s">
        <v>1003</v>
      </c>
      <c r="C117" s="607">
        <f>5800+3000+4000</f>
        <v>12800</v>
      </c>
      <c r="D117" s="225">
        <v>5152</v>
      </c>
      <c r="E117" s="225">
        <v>1648</v>
      </c>
      <c r="F117" s="225">
        <v>2000</v>
      </c>
      <c r="G117" s="225"/>
      <c r="H117" s="225">
        <v>4000</v>
      </c>
      <c r="I117" s="225"/>
      <c r="J117" s="225"/>
      <c r="K117" s="225"/>
      <c r="L117" s="226"/>
    </row>
    <row r="118" spans="1:12" ht="15">
      <c r="A118" s="289"/>
      <c r="B118" s="614" t="s">
        <v>1004</v>
      </c>
      <c r="C118" s="607">
        <v>6500</v>
      </c>
      <c r="D118" s="225">
        <v>1894</v>
      </c>
      <c r="E118" s="225">
        <v>606</v>
      </c>
      <c r="F118" s="225">
        <v>2000</v>
      </c>
      <c r="G118" s="225"/>
      <c r="H118" s="225">
        <v>2000</v>
      </c>
      <c r="I118" s="225"/>
      <c r="J118" s="225"/>
      <c r="K118" s="225"/>
      <c r="L118" s="226"/>
    </row>
    <row r="119" spans="1:12" ht="15">
      <c r="A119" s="289"/>
      <c r="B119" s="614" t="s">
        <v>1006</v>
      </c>
      <c r="C119" s="607">
        <f>105000-3000+2000</f>
        <v>104000</v>
      </c>
      <c r="D119" s="225"/>
      <c r="E119" s="225"/>
      <c r="F119" s="225"/>
      <c r="G119" s="225"/>
      <c r="H119" s="225">
        <v>104000</v>
      </c>
      <c r="I119" s="225"/>
      <c r="J119" s="225"/>
      <c r="K119" s="225"/>
      <c r="L119" s="226"/>
    </row>
    <row r="120" spans="1:12" ht="15">
      <c r="A120" s="289"/>
      <c r="B120" s="614" t="s">
        <v>675</v>
      </c>
      <c r="C120" s="607">
        <v>2000</v>
      </c>
      <c r="D120" s="225"/>
      <c r="E120" s="225"/>
      <c r="F120" s="225"/>
      <c r="G120" s="225"/>
      <c r="H120" s="225">
        <v>2000</v>
      </c>
      <c r="I120" s="225"/>
      <c r="J120" s="225"/>
      <c r="K120" s="225"/>
      <c r="L120" s="226"/>
    </row>
    <row r="121" spans="1:12" ht="15">
      <c r="A121" s="289"/>
      <c r="B121" s="195" t="s">
        <v>22</v>
      </c>
      <c r="C121" s="607">
        <v>7000</v>
      </c>
      <c r="D121" s="225"/>
      <c r="E121" s="225"/>
      <c r="F121" s="225"/>
      <c r="G121" s="225"/>
      <c r="H121" s="225">
        <v>7000</v>
      </c>
      <c r="I121" s="225"/>
      <c r="J121" s="225"/>
      <c r="K121" s="225"/>
      <c r="L121" s="226"/>
    </row>
    <row r="122" spans="1:12" ht="15">
      <c r="A122" s="289" t="s">
        <v>257</v>
      </c>
      <c r="B122" s="239" t="s">
        <v>1008</v>
      </c>
      <c r="C122" s="1054">
        <f aca="true" t="shared" si="10" ref="C122:H122">SUM(C123:C130)</f>
        <v>29600</v>
      </c>
      <c r="D122" s="234">
        <f t="shared" si="10"/>
        <v>3561</v>
      </c>
      <c r="E122" s="234">
        <f t="shared" si="10"/>
        <v>1139</v>
      </c>
      <c r="F122" s="234">
        <f t="shared" si="10"/>
        <v>13700</v>
      </c>
      <c r="G122" s="234">
        <f t="shared" si="10"/>
        <v>0</v>
      </c>
      <c r="H122" s="234">
        <f t="shared" si="10"/>
        <v>11200</v>
      </c>
      <c r="I122" s="234">
        <f>SUM(I123:I127)</f>
        <v>0</v>
      </c>
      <c r="J122" s="234">
        <f>SUM(J123:J127)</f>
        <v>0</v>
      </c>
      <c r="K122" s="234">
        <f>SUM(K123:K127)</f>
        <v>0</v>
      </c>
      <c r="L122" s="247">
        <f>SUM(L123:L127)</f>
        <v>0</v>
      </c>
    </row>
    <row r="123" spans="1:12" ht="15">
      <c r="A123" s="289"/>
      <c r="B123" s="614" t="s">
        <v>927</v>
      </c>
      <c r="C123" s="607">
        <v>1500</v>
      </c>
      <c r="D123" s="225"/>
      <c r="E123" s="225"/>
      <c r="F123" s="225"/>
      <c r="G123" s="225"/>
      <c r="H123" s="225">
        <v>1500</v>
      </c>
      <c r="I123" s="225"/>
      <c r="J123" s="225"/>
      <c r="K123" s="225"/>
      <c r="L123" s="226"/>
    </row>
    <row r="124" spans="1:12" ht="15">
      <c r="A124" s="289"/>
      <c r="B124" s="614" t="s">
        <v>1009</v>
      </c>
      <c r="C124" s="607">
        <v>1200</v>
      </c>
      <c r="D124" s="225">
        <v>909</v>
      </c>
      <c r="E124" s="225">
        <v>291</v>
      </c>
      <c r="F124" s="225"/>
      <c r="G124" s="225"/>
      <c r="H124" s="225"/>
      <c r="I124" s="225"/>
      <c r="J124" s="225"/>
      <c r="K124" s="225"/>
      <c r="L124" s="226"/>
    </row>
    <row r="125" spans="1:12" ht="15">
      <c r="A125" s="289"/>
      <c r="B125" s="614" t="s">
        <v>1010</v>
      </c>
      <c r="C125" s="607">
        <v>6500</v>
      </c>
      <c r="D125" s="225">
        <v>2652</v>
      </c>
      <c r="E125" s="225">
        <v>848</v>
      </c>
      <c r="F125" s="225">
        <v>3000</v>
      </c>
      <c r="G125" s="225"/>
      <c r="H125" s="225"/>
      <c r="I125" s="225"/>
      <c r="J125" s="225"/>
      <c r="K125" s="225"/>
      <c r="L125" s="226"/>
    </row>
    <row r="126" spans="1:12" ht="15">
      <c r="A126" s="289"/>
      <c r="B126" s="614" t="s">
        <v>1011</v>
      </c>
      <c r="C126" s="607">
        <v>2700</v>
      </c>
      <c r="D126" s="225"/>
      <c r="E126" s="225"/>
      <c r="F126" s="225"/>
      <c r="G126" s="225"/>
      <c r="H126" s="225">
        <v>2700</v>
      </c>
      <c r="I126" s="225"/>
      <c r="J126" s="225"/>
      <c r="K126" s="225"/>
      <c r="L126" s="226"/>
    </row>
    <row r="127" spans="1:12" ht="15">
      <c r="A127" s="289"/>
      <c r="B127" s="614" t="s">
        <v>1017</v>
      </c>
      <c r="C127" s="607">
        <v>7200</v>
      </c>
      <c r="D127" s="225"/>
      <c r="E127" s="225"/>
      <c r="F127" s="225">
        <v>7200</v>
      </c>
      <c r="G127" s="225"/>
      <c r="H127" s="225"/>
      <c r="I127" s="225"/>
      <c r="J127" s="225"/>
      <c r="K127" s="225"/>
      <c r="L127" s="226"/>
    </row>
    <row r="128" spans="1:12" ht="15">
      <c r="A128" s="289"/>
      <c r="B128" s="1088" t="s">
        <v>736</v>
      </c>
      <c r="C128" s="607">
        <v>2000</v>
      </c>
      <c r="D128" s="235"/>
      <c r="E128" s="235"/>
      <c r="F128" s="235">
        <v>2000</v>
      </c>
      <c r="G128" s="235"/>
      <c r="H128" s="235"/>
      <c r="I128" s="235"/>
      <c r="J128" s="235"/>
      <c r="K128" s="235"/>
      <c r="L128" s="226"/>
    </row>
    <row r="129" spans="1:12" ht="15">
      <c r="A129" s="289"/>
      <c r="B129" s="1088" t="s">
        <v>504</v>
      </c>
      <c r="C129" s="607">
        <v>7000</v>
      </c>
      <c r="D129" s="235"/>
      <c r="E129" s="235"/>
      <c r="F129" s="235"/>
      <c r="G129" s="235"/>
      <c r="H129" s="235">
        <v>7000</v>
      </c>
      <c r="I129" s="235"/>
      <c r="J129" s="235"/>
      <c r="K129" s="235"/>
      <c r="L129" s="226"/>
    </row>
    <row r="130" spans="1:12" ht="15">
      <c r="A130" s="289"/>
      <c r="B130" s="614" t="s">
        <v>1012</v>
      </c>
      <c r="C130" s="607">
        <v>1500</v>
      </c>
      <c r="D130" s="235"/>
      <c r="E130" s="235"/>
      <c r="F130" s="235">
        <v>1500</v>
      </c>
      <c r="G130" s="235"/>
      <c r="H130" s="235"/>
      <c r="I130" s="235"/>
      <c r="J130" s="235"/>
      <c r="K130" s="235"/>
      <c r="L130" s="226"/>
    </row>
    <row r="131" spans="1:12" ht="15">
      <c r="A131" s="289" t="s">
        <v>1345</v>
      </c>
      <c r="B131" s="239" t="s">
        <v>1013</v>
      </c>
      <c r="C131" s="1054">
        <f>SUM(C132:C139)</f>
        <v>344200</v>
      </c>
      <c r="D131" s="234">
        <f>SUM(D132:D139)</f>
        <v>0</v>
      </c>
      <c r="E131" s="234">
        <f>SUM(E132:E139)</f>
        <v>0</v>
      </c>
      <c r="F131" s="234">
        <f>SUM(F132:F139)</f>
        <v>17700</v>
      </c>
      <c r="G131" s="234"/>
      <c r="H131" s="234">
        <f>SUM(H132:H139)</f>
        <v>326500</v>
      </c>
      <c r="I131" s="234">
        <f>SUM(I132:I139)</f>
        <v>0</v>
      </c>
      <c r="J131" s="234">
        <f>SUM(J132:J139)</f>
        <v>0</v>
      </c>
      <c r="K131" s="234">
        <f>SUM(K132:K139)</f>
        <v>0</v>
      </c>
      <c r="L131" s="247">
        <f>SUM(L132:L139)</f>
        <v>0</v>
      </c>
    </row>
    <row r="132" spans="1:12" ht="15">
      <c r="A132" s="289"/>
      <c r="B132" s="614" t="s">
        <v>1440</v>
      </c>
      <c r="C132" s="607">
        <f>293200+18000</f>
        <v>311200</v>
      </c>
      <c r="D132" s="225"/>
      <c r="E132" s="225"/>
      <c r="F132" s="225"/>
      <c r="G132" s="225"/>
      <c r="H132" s="225">
        <f>SUM(C132)</f>
        <v>311200</v>
      </c>
      <c r="I132" s="225"/>
      <c r="J132" s="225"/>
      <c r="K132" s="225"/>
      <c r="L132" s="226"/>
    </row>
    <row r="133" spans="1:12" ht="15">
      <c r="A133" s="289"/>
      <c r="B133" s="614" t="s">
        <v>1014</v>
      </c>
      <c r="C133" s="607">
        <v>3500</v>
      </c>
      <c r="D133" s="225"/>
      <c r="E133" s="225"/>
      <c r="F133" s="225">
        <v>3500</v>
      </c>
      <c r="G133" s="225"/>
      <c r="H133" s="225"/>
      <c r="I133" s="225"/>
      <c r="J133" s="225"/>
      <c r="K133" s="225"/>
      <c r="L133" s="226"/>
    </row>
    <row r="134" spans="1:12" ht="15">
      <c r="A134" s="289"/>
      <c r="B134" s="614" t="s">
        <v>1015</v>
      </c>
      <c r="C134" s="607">
        <v>4000</v>
      </c>
      <c r="D134" s="225"/>
      <c r="E134" s="225"/>
      <c r="F134" s="225">
        <v>4000</v>
      </c>
      <c r="G134" s="225"/>
      <c r="H134" s="225"/>
      <c r="I134" s="225"/>
      <c r="J134" s="225"/>
      <c r="K134" s="225"/>
      <c r="L134" s="226"/>
    </row>
    <row r="135" spans="1:12" ht="15">
      <c r="A135" s="289"/>
      <c r="B135" s="614" t="s">
        <v>1016</v>
      </c>
      <c r="C135" s="607">
        <v>3000</v>
      </c>
      <c r="D135" s="225"/>
      <c r="E135" s="225"/>
      <c r="F135" s="225"/>
      <c r="G135" s="225"/>
      <c r="H135" s="225">
        <v>3000</v>
      </c>
      <c r="I135" s="225"/>
      <c r="J135" s="225"/>
      <c r="K135" s="225"/>
      <c r="L135" s="226"/>
    </row>
    <row r="136" spans="1:12" ht="15">
      <c r="A136" s="289"/>
      <c r="B136" s="614" t="s">
        <v>1019</v>
      </c>
      <c r="C136" s="607">
        <v>2000</v>
      </c>
      <c r="D136" s="225"/>
      <c r="E136" s="225"/>
      <c r="F136" s="225"/>
      <c r="G136" s="225"/>
      <c r="H136" s="225">
        <v>2000</v>
      </c>
      <c r="I136" s="225"/>
      <c r="J136" s="225"/>
      <c r="K136" s="225"/>
      <c r="L136" s="226"/>
    </row>
    <row r="137" spans="1:12" ht="15">
      <c r="A137" s="289"/>
      <c r="B137" s="614" t="s">
        <v>1005</v>
      </c>
      <c r="C137" s="607">
        <v>7000</v>
      </c>
      <c r="D137" s="225"/>
      <c r="E137" s="225"/>
      <c r="F137" s="225">
        <v>4000</v>
      </c>
      <c r="G137" s="225"/>
      <c r="H137" s="225">
        <v>3000</v>
      </c>
      <c r="I137" s="225"/>
      <c r="J137" s="225"/>
      <c r="K137" s="225"/>
      <c r="L137" s="226"/>
    </row>
    <row r="138" spans="1:12" ht="15">
      <c r="A138" s="289"/>
      <c r="B138" s="614" t="s">
        <v>630</v>
      </c>
      <c r="C138" s="607">
        <v>1400</v>
      </c>
      <c r="D138" s="225"/>
      <c r="E138" s="225"/>
      <c r="F138" s="225">
        <v>1400</v>
      </c>
      <c r="G138" s="225"/>
      <c r="H138" s="225"/>
      <c r="I138" s="225"/>
      <c r="J138" s="225"/>
      <c r="K138" s="225"/>
      <c r="L138" s="226"/>
    </row>
    <row r="139" spans="1:12" ht="15">
      <c r="A139" s="289"/>
      <c r="B139" s="614" t="s">
        <v>921</v>
      </c>
      <c r="C139" s="607">
        <v>12100</v>
      </c>
      <c r="D139" s="225"/>
      <c r="E139" s="225"/>
      <c r="F139" s="225">
        <f>10700-5900</f>
        <v>4800</v>
      </c>
      <c r="G139" s="225"/>
      <c r="H139" s="225">
        <v>7300</v>
      </c>
      <c r="I139" s="225"/>
      <c r="J139" s="225"/>
      <c r="K139" s="225"/>
      <c r="L139" s="226"/>
    </row>
    <row r="140" spans="1:12" ht="15">
      <c r="A140" s="289" t="s">
        <v>293</v>
      </c>
      <c r="B140" s="239" t="s">
        <v>926</v>
      </c>
      <c r="C140" s="234">
        <f>SUM(C145:C147,C141)</f>
        <v>344000</v>
      </c>
      <c r="D140" s="234">
        <f>SUM(D145:D147,D141)</f>
        <v>3030</v>
      </c>
      <c r="E140" s="234">
        <f>SUM(E145:E147,E141)</f>
        <v>970</v>
      </c>
      <c r="F140" s="234">
        <f>SUM(F145:F147,F141)</f>
        <v>10000</v>
      </c>
      <c r="G140" s="234"/>
      <c r="H140" s="234">
        <f>SUM(H145:H147,H141)</f>
        <v>330000</v>
      </c>
      <c r="I140" s="234">
        <f>SUM(I141:I147)</f>
        <v>0</v>
      </c>
      <c r="J140" s="234">
        <f>SUM(J141:J147)</f>
        <v>0</v>
      </c>
      <c r="K140" s="234">
        <f>SUM(K141:K147)</f>
        <v>0</v>
      </c>
      <c r="L140" s="247">
        <f>SUM(L141:L147)</f>
        <v>0</v>
      </c>
    </row>
    <row r="141" spans="1:12" ht="15">
      <c r="A141" s="289"/>
      <c r="B141" s="194" t="s">
        <v>927</v>
      </c>
      <c r="C141" s="607">
        <v>217500</v>
      </c>
      <c r="D141" s="225"/>
      <c r="E141" s="225"/>
      <c r="F141" s="225"/>
      <c r="G141" s="225"/>
      <c r="H141" s="225">
        <v>217500</v>
      </c>
      <c r="I141" s="225"/>
      <c r="J141" s="225"/>
      <c r="K141" s="225"/>
      <c r="L141" s="226"/>
    </row>
    <row r="142" spans="1:12" ht="15">
      <c r="A142" s="293"/>
      <c r="B142" s="1290" t="s">
        <v>461</v>
      </c>
      <c r="C142" s="607">
        <v>43000</v>
      </c>
      <c r="D142" s="235"/>
      <c r="E142" s="225"/>
      <c r="F142" s="225"/>
      <c r="G142" s="225"/>
      <c r="H142" s="225">
        <f>SUM(C142)</f>
        <v>43000</v>
      </c>
      <c r="I142" s="225"/>
      <c r="J142" s="225"/>
      <c r="K142" s="225"/>
      <c r="L142" s="226"/>
    </row>
    <row r="143" spans="1:12" ht="15">
      <c r="A143" s="293"/>
      <c r="B143" s="1290" t="s">
        <v>924</v>
      </c>
      <c r="C143" s="607">
        <v>11000</v>
      </c>
      <c r="D143" s="235"/>
      <c r="E143" s="225"/>
      <c r="F143" s="225"/>
      <c r="G143" s="225"/>
      <c r="H143" s="225">
        <v>11000</v>
      </c>
      <c r="I143" s="225"/>
      <c r="J143" s="225"/>
      <c r="K143" s="225"/>
      <c r="L143" s="226"/>
    </row>
    <row r="144" spans="1:12" ht="15">
      <c r="A144" s="293"/>
      <c r="B144" s="1290" t="s">
        <v>460</v>
      </c>
      <c r="C144" s="607">
        <v>21000</v>
      </c>
      <c r="D144" s="235"/>
      <c r="E144" s="225"/>
      <c r="F144" s="225"/>
      <c r="G144" s="225"/>
      <c r="H144" s="225">
        <v>21000</v>
      </c>
      <c r="I144" s="225"/>
      <c r="J144" s="225"/>
      <c r="K144" s="225"/>
      <c r="L144" s="226"/>
    </row>
    <row r="145" spans="1:12" ht="15">
      <c r="A145" s="289"/>
      <c r="B145" s="194" t="s">
        <v>1018</v>
      </c>
      <c r="C145" s="607">
        <v>42000</v>
      </c>
      <c r="D145" s="225">
        <v>3030</v>
      </c>
      <c r="E145" s="225">
        <v>970</v>
      </c>
      <c r="F145" s="225">
        <v>10000</v>
      </c>
      <c r="G145" s="225"/>
      <c r="H145" s="225">
        <v>28000</v>
      </c>
      <c r="I145" s="225"/>
      <c r="J145" s="225"/>
      <c r="K145" s="225"/>
      <c r="L145" s="226"/>
    </row>
    <row r="146" spans="1:12" ht="15">
      <c r="A146" s="289"/>
      <c r="B146" s="194" t="s">
        <v>1249</v>
      </c>
      <c r="C146" s="612">
        <v>2500</v>
      </c>
      <c r="D146" s="225"/>
      <c r="E146" s="225"/>
      <c r="F146" s="225"/>
      <c r="G146" s="225"/>
      <c r="H146" s="225">
        <v>2500</v>
      </c>
      <c r="I146" s="225"/>
      <c r="J146" s="225"/>
      <c r="K146" s="225"/>
      <c r="L146" s="226"/>
    </row>
    <row r="147" spans="1:12" ht="15">
      <c r="A147" s="291"/>
      <c r="B147" s="294" t="s">
        <v>455</v>
      </c>
      <c r="C147" s="612">
        <f>75000+7000</f>
        <v>82000</v>
      </c>
      <c r="D147" s="227"/>
      <c r="E147" s="227"/>
      <c r="F147" s="227"/>
      <c r="G147" s="227"/>
      <c r="H147" s="227">
        <f>75000+7000</f>
        <v>82000</v>
      </c>
      <c r="I147" s="227"/>
      <c r="J147" s="227"/>
      <c r="K147" s="227"/>
      <c r="L147" s="228"/>
    </row>
    <row r="148" spans="1:12" ht="15">
      <c r="A148" s="286" t="s">
        <v>262</v>
      </c>
      <c r="B148" s="196" t="s">
        <v>1020</v>
      </c>
      <c r="C148" s="236">
        <f>SUM(C149:C168)</f>
        <v>302117</v>
      </c>
      <c r="D148" s="219">
        <f>SUM(D149:D168)</f>
        <v>2880</v>
      </c>
      <c r="E148" s="219">
        <f>SUM(E149:E168)</f>
        <v>25078</v>
      </c>
      <c r="F148" s="219">
        <f>SUM(F149:F168)</f>
        <v>17785</v>
      </c>
      <c r="G148" s="219"/>
      <c r="H148" s="219">
        <f>SUM(H149:H168)</f>
        <v>231374</v>
      </c>
      <c r="I148" s="219">
        <f>SUM(I149:I168)</f>
        <v>25000</v>
      </c>
      <c r="J148" s="219">
        <f>SUM(J149:J168)</f>
        <v>0</v>
      </c>
      <c r="K148" s="219">
        <f>SUM(K149:K168)</f>
        <v>0</v>
      </c>
      <c r="L148" s="233">
        <f>SUM(L149:L168)</f>
        <v>25000</v>
      </c>
    </row>
    <row r="149" spans="1:12" ht="15">
      <c r="A149" s="288"/>
      <c r="B149" s="613" t="s">
        <v>910</v>
      </c>
      <c r="C149" s="611">
        <v>31000</v>
      </c>
      <c r="D149" s="223"/>
      <c r="E149" s="223"/>
      <c r="F149" s="223">
        <v>4097</v>
      </c>
      <c r="G149" s="223"/>
      <c r="H149" s="223">
        <v>26903</v>
      </c>
      <c r="I149" s="223"/>
      <c r="J149" s="223"/>
      <c r="K149" s="223"/>
      <c r="L149" s="224"/>
    </row>
    <row r="150" spans="1:12" ht="15">
      <c r="A150" s="289"/>
      <c r="B150" s="614" t="s">
        <v>911</v>
      </c>
      <c r="C150" s="607">
        <v>25500</v>
      </c>
      <c r="D150" s="225"/>
      <c r="E150" s="225"/>
      <c r="F150" s="225">
        <v>565</v>
      </c>
      <c r="G150" s="225"/>
      <c r="H150" s="225">
        <v>24935</v>
      </c>
      <c r="I150" s="225"/>
      <c r="J150" s="225"/>
      <c r="K150" s="225"/>
      <c r="L150" s="226"/>
    </row>
    <row r="151" spans="1:12" ht="15">
      <c r="A151" s="289"/>
      <c r="B151" s="614" t="s">
        <v>912</v>
      </c>
      <c r="C151" s="607">
        <v>70000</v>
      </c>
      <c r="D151" s="225"/>
      <c r="E151" s="225">
        <v>24378</v>
      </c>
      <c r="F151" s="225">
        <v>1422</v>
      </c>
      <c r="G151" s="225"/>
      <c r="H151" s="225">
        <v>44200</v>
      </c>
      <c r="I151" s="225"/>
      <c r="J151" s="225"/>
      <c r="K151" s="225"/>
      <c r="L151" s="226"/>
    </row>
    <row r="152" spans="1:12" ht="15">
      <c r="A152" s="289"/>
      <c r="B152" s="614" t="s">
        <v>913</v>
      </c>
      <c r="C152" s="607">
        <v>12000</v>
      </c>
      <c r="D152" s="225"/>
      <c r="E152" s="225"/>
      <c r="F152" s="225">
        <v>836</v>
      </c>
      <c r="G152" s="225"/>
      <c r="H152" s="225">
        <v>11164</v>
      </c>
      <c r="I152" s="225"/>
      <c r="J152" s="225"/>
      <c r="K152" s="225"/>
      <c r="L152" s="226"/>
    </row>
    <row r="153" spans="1:12" ht="15">
      <c r="A153" s="289"/>
      <c r="B153" s="614" t="s">
        <v>914</v>
      </c>
      <c r="C153" s="607">
        <v>4000</v>
      </c>
      <c r="D153" s="225"/>
      <c r="E153" s="225"/>
      <c r="F153" s="225">
        <v>47</v>
      </c>
      <c r="G153" s="225"/>
      <c r="H153" s="225">
        <v>3953</v>
      </c>
      <c r="I153" s="225"/>
      <c r="J153" s="225"/>
      <c r="K153" s="225"/>
      <c r="L153" s="226"/>
    </row>
    <row r="154" spans="1:12" ht="15">
      <c r="A154" s="289"/>
      <c r="B154" s="614" t="s">
        <v>915</v>
      </c>
      <c r="C154" s="607">
        <v>23000</v>
      </c>
      <c r="D154" s="225"/>
      <c r="E154" s="225"/>
      <c r="F154" s="225"/>
      <c r="G154" s="225"/>
      <c r="H154" s="225">
        <v>23000</v>
      </c>
      <c r="I154" s="225"/>
      <c r="J154" s="225"/>
      <c r="K154" s="225"/>
      <c r="L154" s="226"/>
    </row>
    <row r="155" spans="1:12" ht="15">
      <c r="A155" s="289"/>
      <c r="B155" s="614" t="s">
        <v>916</v>
      </c>
      <c r="C155" s="607">
        <v>21000</v>
      </c>
      <c r="D155" s="225"/>
      <c r="E155" s="225"/>
      <c r="F155" s="225">
        <v>300</v>
      </c>
      <c r="G155" s="225"/>
      <c r="H155" s="225">
        <v>20700</v>
      </c>
      <c r="I155" s="225"/>
      <c r="J155" s="225"/>
      <c r="K155" s="225"/>
      <c r="L155" s="226"/>
    </row>
    <row r="156" spans="1:12" ht="15">
      <c r="A156" s="289"/>
      <c r="B156" s="614" t="s">
        <v>917</v>
      </c>
      <c r="C156" s="607">
        <v>600</v>
      </c>
      <c r="D156" s="225"/>
      <c r="E156" s="225"/>
      <c r="F156" s="225">
        <v>65</v>
      </c>
      <c r="G156" s="225"/>
      <c r="H156" s="225">
        <v>535</v>
      </c>
      <c r="I156" s="225"/>
      <c r="J156" s="225"/>
      <c r="K156" s="225"/>
      <c r="L156" s="226"/>
    </row>
    <row r="157" spans="1:12" ht="15">
      <c r="A157" s="289"/>
      <c r="B157" s="614" t="s">
        <v>918</v>
      </c>
      <c r="C157" s="607">
        <v>13000</v>
      </c>
      <c r="D157" s="225"/>
      <c r="E157" s="225"/>
      <c r="F157" s="225">
        <v>627</v>
      </c>
      <c r="G157" s="225"/>
      <c r="H157" s="225">
        <v>12373</v>
      </c>
      <c r="I157" s="225"/>
      <c r="J157" s="225"/>
      <c r="K157" s="225"/>
      <c r="L157" s="226"/>
    </row>
    <row r="158" spans="1:12" ht="15">
      <c r="A158" s="289"/>
      <c r="B158" s="614" t="s">
        <v>919</v>
      </c>
      <c r="C158" s="607">
        <v>2000</v>
      </c>
      <c r="D158" s="225"/>
      <c r="E158" s="225"/>
      <c r="F158" s="225"/>
      <c r="G158" s="225"/>
      <c r="H158" s="225">
        <v>2000</v>
      </c>
      <c r="I158" s="225"/>
      <c r="J158" s="225"/>
      <c r="K158" s="225"/>
      <c r="L158" s="226"/>
    </row>
    <row r="159" spans="1:12" ht="15">
      <c r="A159" s="289"/>
      <c r="B159" s="614" t="s">
        <v>920</v>
      </c>
      <c r="C159" s="607">
        <v>4917</v>
      </c>
      <c r="D159" s="225">
        <v>2880</v>
      </c>
      <c r="E159" s="225">
        <v>700</v>
      </c>
      <c r="F159" s="225">
        <v>1337</v>
      </c>
      <c r="G159" s="225"/>
      <c r="H159" s="225"/>
      <c r="I159" s="225"/>
      <c r="J159" s="225"/>
      <c r="K159" s="225"/>
      <c r="L159" s="226"/>
    </row>
    <row r="160" spans="1:12" ht="15">
      <c r="A160" s="289"/>
      <c r="B160" s="614" t="s">
        <v>922</v>
      </c>
      <c r="C160" s="607">
        <v>2000</v>
      </c>
      <c r="D160" s="225"/>
      <c r="E160" s="225"/>
      <c r="F160" s="225"/>
      <c r="G160" s="225"/>
      <c r="H160" s="225">
        <v>2000</v>
      </c>
      <c r="I160" s="225"/>
      <c r="J160" s="225"/>
      <c r="K160" s="225"/>
      <c r="L160" s="226"/>
    </row>
    <row r="161" spans="1:12" ht="15">
      <c r="A161" s="289"/>
      <c r="B161" s="614" t="s">
        <v>1021</v>
      </c>
      <c r="C161" s="607">
        <v>10000</v>
      </c>
      <c r="D161" s="225"/>
      <c r="E161" s="225"/>
      <c r="F161" s="225"/>
      <c r="G161" s="225"/>
      <c r="H161" s="225">
        <v>10000</v>
      </c>
      <c r="I161" s="225"/>
      <c r="J161" s="225"/>
      <c r="K161" s="225"/>
      <c r="L161" s="226"/>
    </row>
    <row r="162" spans="1:12" ht="15">
      <c r="A162" s="289"/>
      <c r="B162" s="614" t="s">
        <v>923</v>
      </c>
      <c r="C162" s="607">
        <v>7500</v>
      </c>
      <c r="D162" s="225"/>
      <c r="E162" s="225"/>
      <c r="F162" s="225">
        <v>7500</v>
      </c>
      <c r="G162" s="225"/>
      <c r="H162" s="225"/>
      <c r="I162" s="225"/>
      <c r="J162" s="225"/>
      <c r="K162" s="225"/>
      <c r="L162" s="226"/>
    </row>
    <row r="163" spans="1:12" ht="15">
      <c r="A163" s="289"/>
      <c r="B163" s="614" t="s">
        <v>1022</v>
      </c>
      <c r="C163" s="607">
        <v>25000</v>
      </c>
      <c r="D163" s="225"/>
      <c r="E163" s="225"/>
      <c r="F163" s="225"/>
      <c r="G163" s="225"/>
      <c r="H163" s="225"/>
      <c r="I163" s="225">
        <v>25000</v>
      </c>
      <c r="J163" s="225"/>
      <c r="K163" s="225"/>
      <c r="L163" s="226">
        <v>25000</v>
      </c>
    </row>
    <row r="164" spans="1:12" ht="15">
      <c r="A164" s="289"/>
      <c r="B164" s="283" t="s">
        <v>1319</v>
      </c>
      <c r="C164" s="607">
        <v>16000</v>
      </c>
      <c r="D164" s="225"/>
      <c r="E164" s="225"/>
      <c r="F164" s="225"/>
      <c r="G164" s="225"/>
      <c r="H164" s="225">
        <v>16000</v>
      </c>
      <c r="I164" s="225"/>
      <c r="J164" s="225"/>
      <c r="K164" s="225"/>
      <c r="L164" s="226"/>
    </row>
    <row r="165" spans="1:12" ht="15">
      <c r="A165" s="289"/>
      <c r="B165" s="1088" t="s">
        <v>631</v>
      </c>
      <c r="C165" s="607">
        <v>16700</v>
      </c>
      <c r="D165" s="225"/>
      <c r="E165" s="225"/>
      <c r="F165" s="225">
        <v>986</v>
      </c>
      <c r="G165" s="225"/>
      <c r="H165" s="225">
        <v>15714</v>
      </c>
      <c r="I165" s="225"/>
      <c r="J165" s="225"/>
      <c r="K165" s="225"/>
      <c r="L165" s="226"/>
    </row>
    <row r="166" spans="1:12" ht="15">
      <c r="A166" s="289"/>
      <c r="B166" s="1088" t="s">
        <v>444</v>
      </c>
      <c r="C166" s="607">
        <v>16800</v>
      </c>
      <c r="D166" s="225"/>
      <c r="E166" s="225"/>
      <c r="F166" s="225"/>
      <c r="G166" s="225"/>
      <c r="H166" s="225">
        <v>16800</v>
      </c>
      <c r="I166" s="225"/>
      <c r="J166" s="225"/>
      <c r="K166" s="225"/>
      <c r="L166" s="226"/>
    </row>
    <row r="167" spans="1:12" ht="15">
      <c r="A167" s="289"/>
      <c r="B167" s="1088" t="s">
        <v>445</v>
      </c>
      <c r="C167" s="607">
        <v>100</v>
      </c>
      <c r="D167" s="225"/>
      <c r="E167" s="225"/>
      <c r="F167" s="225">
        <v>3</v>
      </c>
      <c r="G167" s="225"/>
      <c r="H167" s="225">
        <v>97</v>
      </c>
      <c r="I167" s="225"/>
      <c r="J167" s="225"/>
      <c r="K167" s="225"/>
      <c r="L167" s="226"/>
    </row>
    <row r="168" spans="1:12" ht="15">
      <c r="A168" s="291"/>
      <c r="B168" s="1089" t="s">
        <v>927</v>
      </c>
      <c r="C168" s="612">
        <v>1000</v>
      </c>
      <c r="D168" s="227"/>
      <c r="E168" s="227"/>
      <c r="F168" s="227"/>
      <c r="G168" s="227"/>
      <c r="H168" s="227">
        <v>1000</v>
      </c>
      <c r="I168" s="227"/>
      <c r="J168" s="227"/>
      <c r="K168" s="227"/>
      <c r="L168" s="228"/>
    </row>
    <row r="169" spans="1:12" ht="15">
      <c r="A169" s="286" t="s">
        <v>264</v>
      </c>
      <c r="B169" s="196" t="s">
        <v>1023</v>
      </c>
      <c r="C169" s="236">
        <f>SUM(C170)</f>
        <v>5000</v>
      </c>
      <c r="D169" s="220">
        <f aca="true" t="shared" si="11" ref="D169:L169">SUM(D170)</f>
        <v>0</v>
      </c>
      <c r="E169" s="220">
        <f t="shared" si="11"/>
        <v>0</v>
      </c>
      <c r="F169" s="220">
        <f t="shared" si="11"/>
        <v>0</v>
      </c>
      <c r="G169" s="220"/>
      <c r="H169" s="220">
        <f t="shared" si="11"/>
        <v>0</v>
      </c>
      <c r="I169" s="219">
        <f t="shared" si="11"/>
        <v>5000</v>
      </c>
      <c r="J169" s="220">
        <f t="shared" si="11"/>
        <v>0</v>
      </c>
      <c r="K169" s="219">
        <f t="shared" si="11"/>
        <v>2500</v>
      </c>
      <c r="L169" s="233">
        <f t="shared" si="11"/>
        <v>2500</v>
      </c>
    </row>
    <row r="170" spans="1:12" ht="15">
      <c r="A170" s="287"/>
      <c r="B170" s="332" t="s">
        <v>925</v>
      </c>
      <c r="C170" s="242">
        <v>5000</v>
      </c>
      <c r="D170" s="229"/>
      <c r="E170" s="229"/>
      <c r="F170" s="229"/>
      <c r="G170" s="229"/>
      <c r="H170" s="229"/>
      <c r="I170" s="229">
        <f>SUM(C170)</f>
        <v>5000</v>
      </c>
      <c r="J170" s="229"/>
      <c r="K170" s="229">
        <v>2500</v>
      </c>
      <c r="L170" s="230">
        <v>2500</v>
      </c>
    </row>
    <row r="171" spans="1:12" ht="15">
      <c r="A171" s="286" t="s">
        <v>265</v>
      </c>
      <c r="B171" s="218" t="s">
        <v>1024</v>
      </c>
      <c r="C171" s="219">
        <f aca="true" t="shared" si="12" ref="C171:L171">SUM(C172:C176)</f>
        <v>67218</v>
      </c>
      <c r="D171" s="219">
        <f t="shared" si="12"/>
        <v>9288</v>
      </c>
      <c r="E171" s="219">
        <f t="shared" si="12"/>
        <v>2972</v>
      </c>
      <c r="F171" s="219">
        <f t="shared" si="12"/>
        <v>47608</v>
      </c>
      <c r="G171" s="219"/>
      <c r="H171" s="219">
        <f t="shared" si="12"/>
        <v>7350</v>
      </c>
      <c r="I171" s="220">
        <f t="shared" si="12"/>
        <v>0</v>
      </c>
      <c r="J171" s="220">
        <f t="shared" si="12"/>
        <v>0</v>
      </c>
      <c r="K171" s="220">
        <f t="shared" si="12"/>
        <v>0</v>
      </c>
      <c r="L171" s="221">
        <f t="shared" si="12"/>
        <v>0</v>
      </c>
    </row>
    <row r="172" spans="1:12" ht="15">
      <c r="A172" s="288"/>
      <c r="B172" s="261" t="s">
        <v>928</v>
      </c>
      <c r="C172" s="611">
        <v>28108</v>
      </c>
      <c r="D172" s="223"/>
      <c r="E172" s="223"/>
      <c r="F172" s="223">
        <f>SUM(C172)</f>
        <v>28108</v>
      </c>
      <c r="G172" s="223"/>
      <c r="H172" s="223"/>
      <c r="I172" s="223"/>
      <c r="J172" s="223"/>
      <c r="K172" s="223"/>
      <c r="L172" s="224"/>
    </row>
    <row r="173" spans="1:12" ht="15">
      <c r="A173" s="289"/>
      <c r="B173" s="194" t="s">
        <v>1025</v>
      </c>
      <c r="C173" s="607">
        <v>19110</v>
      </c>
      <c r="D173" s="225">
        <v>5500</v>
      </c>
      <c r="E173" s="225">
        <v>1760</v>
      </c>
      <c r="F173" s="225">
        <f>9000-500</f>
        <v>8500</v>
      </c>
      <c r="G173" s="225"/>
      <c r="H173" s="225">
        <f>5350-2000</f>
        <v>3350</v>
      </c>
      <c r="I173" s="225"/>
      <c r="J173" s="225"/>
      <c r="K173" s="225"/>
      <c r="L173" s="226"/>
    </row>
    <row r="174" spans="1:12" ht="15">
      <c r="A174" s="289"/>
      <c r="B174" s="194" t="s">
        <v>1026</v>
      </c>
      <c r="C174" s="607">
        <v>16000</v>
      </c>
      <c r="D174" s="225">
        <v>3788</v>
      </c>
      <c r="E174" s="225">
        <v>1212</v>
      </c>
      <c r="F174" s="225">
        <f>15000-4000</f>
        <v>11000</v>
      </c>
      <c r="G174" s="225"/>
      <c r="H174" s="225"/>
      <c r="I174" s="225"/>
      <c r="J174" s="225"/>
      <c r="K174" s="225"/>
      <c r="L174" s="226"/>
    </row>
    <row r="175" spans="1:12" ht="15">
      <c r="A175" s="289"/>
      <c r="B175" s="194" t="s">
        <v>1027</v>
      </c>
      <c r="C175" s="607">
        <v>2000</v>
      </c>
      <c r="D175" s="225"/>
      <c r="E175" s="225"/>
      <c r="F175" s="225"/>
      <c r="G175" s="225"/>
      <c r="H175" s="225">
        <v>2000</v>
      </c>
      <c r="I175" s="225"/>
      <c r="J175" s="225"/>
      <c r="K175" s="225"/>
      <c r="L175" s="226"/>
    </row>
    <row r="176" spans="1:12" ht="15">
      <c r="A176" s="289"/>
      <c r="B176" s="194" t="s">
        <v>1028</v>
      </c>
      <c r="C176" s="607">
        <v>2000</v>
      </c>
      <c r="D176" s="225"/>
      <c r="E176" s="225"/>
      <c r="F176" s="225"/>
      <c r="G176" s="225"/>
      <c r="H176" s="225">
        <v>2000</v>
      </c>
      <c r="I176" s="225"/>
      <c r="J176" s="225"/>
      <c r="K176" s="225"/>
      <c r="L176" s="226"/>
    </row>
    <row r="177" spans="1:12" ht="15">
      <c r="A177" s="286" t="s">
        <v>1347</v>
      </c>
      <c r="B177" s="218" t="s">
        <v>1272</v>
      </c>
      <c r="C177" s="219">
        <f aca="true" t="shared" si="13" ref="C177:L177">SUM(C178:C211)</f>
        <v>2569593</v>
      </c>
      <c r="D177" s="219">
        <f t="shared" si="13"/>
        <v>0</v>
      </c>
      <c r="E177" s="219">
        <f t="shared" si="13"/>
        <v>0</v>
      </c>
      <c r="F177" s="219">
        <f t="shared" si="13"/>
        <v>0</v>
      </c>
      <c r="G177" s="219">
        <f t="shared" si="13"/>
        <v>0</v>
      </c>
      <c r="H177" s="219">
        <f t="shared" si="13"/>
        <v>0</v>
      </c>
      <c r="I177" s="219">
        <f t="shared" si="13"/>
        <v>2569593</v>
      </c>
      <c r="J177" s="219">
        <f t="shared" si="13"/>
        <v>1956062</v>
      </c>
      <c r="K177" s="219">
        <f t="shared" si="13"/>
        <v>325306</v>
      </c>
      <c r="L177" s="233">
        <f t="shared" si="13"/>
        <v>288225</v>
      </c>
    </row>
    <row r="178" spans="1:12" ht="15">
      <c r="A178" s="293"/>
      <c r="B178" s="1090" t="s">
        <v>1094</v>
      </c>
      <c r="C178" s="241">
        <v>258550</v>
      </c>
      <c r="D178" s="225"/>
      <c r="E178" s="225"/>
      <c r="F178" s="225"/>
      <c r="G178" s="225"/>
      <c r="H178" s="225"/>
      <c r="I178" s="3">
        <f>SUM(C178)</f>
        <v>258550</v>
      </c>
      <c r="J178" s="3">
        <f>SUM(I178)</f>
        <v>258550</v>
      </c>
      <c r="K178" s="3"/>
      <c r="L178" s="988"/>
    </row>
    <row r="179" spans="1:12" ht="15.75" customHeight="1">
      <c r="A179" s="293"/>
      <c r="B179" s="1091" t="s">
        <v>1095</v>
      </c>
      <c r="C179" s="241">
        <v>92919</v>
      </c>
      <c r="D179" s="225"/>
      <c r="E179" s="225"/>
      <c r="F179" s="225"/>
      <c r="G179" s="225"/>
      <c r="H179" s="225"/>
      <c r="I179" s="3">
        <f>SUM(C179)</f>
        <v>92919</v>
      </c>
      <c r="J179" s="3">
        <f>SUM(I179)</f>
        <v>92919</v>
      </c>
      <c r="K179" s="3"/>
      <c r="L179" s="988"/>
    </row>
    <row r="180" spans="1:12" ht="15">
      <c r="A180" s="293"/>
      <c r="B180" s="1091" t="s">
        <v>929</v>
      </c>
      <c r="C180" s="241">
        <v>120000</v>
      </c>
      <c r="D180" s="225"/>
      <c r="E180" s="225"/>
      <c r="F180" s="225"/>
      <c r="G180" s="225"/>
      <c r="H180" s="225"/>
      <c r="I180" s="3">
        <f>SUM(C180)</f>
        <v>120000</v>
      </c>
      <c r="J180" s="3">
        <f>SUM(I180)</f>
        <v>120000</v>
      </c>
      <c r="K180" s="3"/>
      <c r="L180" s="988"/>
    </row>
    <row r="181" spans="1:12" ht="15">
      <c r="A181" s="293"/>
      <c r="B181" s="1091" t="s">
        <v>237</v>
      </c>
      <c r="C181" s="241">
        <f>31360+5599</f>
        <v>36959</v>
      </c>
      <c r="D181" s="225"/>
      <c r="E181" s="225"/>
      <c r="F181" s="225"/>
      <c r="G181" s="225"/>
      <c r="H181" s="225"/>
      <c r="I181" s="3">
        <f>SUM(C181)</f>
        <v>36959</v>
      </c>
      <c r="J181" s="3">
        <f>SUM(I181)</f>
        <v>36959</v>
      </c>
      <c r="K181" s="3"/>
      <c r="L181" s="988"/>
    </row>
    <row r="182" spans="1:12" ht="15">
      <c r="A182" s="293"/>
      <c r="B182" s="1091" t="s">
        <v>130</v>
      </c>
      <c r="C182" s="241">
        <v>288225</v>
      </c>
      <c r="D182" s="225"/>
      <c r="E182" s="225"/>
      <c r="F182" s="225"/>
      <c r="G182" s="225"/>
      <c r="H182" s="225"/>
      <c r="I182" s="3">
        <f>SUM(C182)</f>
        <v>288225</v>
      </c>
      <c r="J182" s="3"/>
      <c r="K182" s="3"/>
      <c r="L182" s="988">
        <f>SUM(I182)</f>
        <v>288225</v>
      </c>
    </row>
    <row r="183" spans="1:12" ht="15">
      <c r="A183" s="293"/>
      <c r="B183" s="1091" t="s">
        <v>446</v>
      </c>
      <c r="C183" s="241">
        <v>29800</v>
      </c>
      <c r="D183" s="225"/>
      <c r="E183" s="225"/>
      <c r="F183" s="225"/>
      <c r="G183" s="225"/>
      <c r="H183" s="225"/>
      <c r="I183" s="3">
        <f aca="true" t="shared" si="14" ref="I183:I192">SUM(C183)</f>
        <v>29800</v>
      </c>
      <c r="J183" s="3">
        <f>SUM(I183)</f>
        <v>29800</v>
      </c>
      <c r="K183" s="3"/>
      <c r="L183" s="988"/>
    </row>
    <row r="184" spans="1:12" ht="15">
      <c r="A184" s="293"/>
      <c r="B184" s="1091" t="s">
        <v>1172</v>
      </c>
      <c r="C184" s="241">
        <v>50000</v>
      </c>
      <c r="D184" s="225"/>
      <c r="E184" s="225"/>
      <c r="F184" s="225"/>
      <c r="G184" s="225"/>
      <c r="H184" s="225"/>
      <c r="I184" s="3">
        <f t="shared" si="14"/>
        <v>50000</v>
      </c>
      <c r="J184" s="3">
        <f>SUM(I184)</f>
        <v>50000</v>
      </c>
      <c r="K184" s="3"/>
      <c r="L184" s="988"/>
    </row>
    <row r="185" spans="1:12" ht="15">
      <c r="A185" s="293"/>
      <c r="B185" s="1091" t="s">
        <v>30</v>
      </c>
      <c r="C185" s="241">
        <v>79224</v>
      </c>
      <c r="D185" s="225"/>
      <c r="E185" s="225"/>
      <c r="F185" s="225"/>
      <c r="G185" s="225"/>
      <c r="H185" s="225"/>
      <c r="I185" s="3">
        <f t="shared" si="14"/>
        <v>79224</v>
      </c>
      <c r="J185" s="3">
        <f>SUM(I185)</f>
        <v>79224</v>
      </c>
      <c r="K185" s="3"/>
      <c r="L185" s="988"/>
    </row>
    <row r="186" spans="1:12" ht="15">
      <c r="A186" s="293"/>
      <c r="B186" s="1091" t="s">
        <v>447</v>
      </c>
      <c r="C186" s="241">
        <v>25000</v>
      </c>
      <c r="D186" s="225"/>
      <c r="E186" s="225"/>
      <c r="F186" s="225"/>
      <c r="G186" s="225"/>
      <c r="H186" s="225"/>
      <c r="I186" s="3">
        <f t="shared" si="14"/>
        <v>25000</v>
      </c>
      <c r="J186" s="3">
        <f>SUM(I186)</f>
        <v>25000</v>
      </c>
      <c r="K186" s="3"/>
      <c r="L186" s="988"/>
    </row>
    <row r="187" spans="1:12" ht="15">
      <c r="A187" s="293"/>
      <c r="B187" s="1092" t="s">
        <v>448</v>
      </c>
      <c r="C187" s="241">
        <v>5280</v>
      </c>
      <c r="D187" s="225"/>
      <c r="E187" s="225"/>
      <c r="F187" s="225"/>
      <c r="G187" s="225"/>
      <c r="H187" s="225"/>
      <c r="I187" s="3">
        <f t="shared" si="14"/>
        <v>5280</v>
      </c>
      <c r="J187" s="3"/>
      <c r="K187" s="3">
        <f>SUM(I187)</f>
        <v>5280</v>
      </c>
      <c r="L187" s="988"/>
    </row>
    <row r="188" spans="1:12" ht="15">
      <c r="A188" s="293"/>
      <c r="B188" s="1093" t="s">
        <v>633</v>
      </c>
      <c r="C188" s="241">
        <v>5000</v>
      </c>
      <c r="D188" s="225"/>
      <c r="E188" s="225"/>
      <c r="F188" s="225"/>
      <c r="G188" s="225"/>
      <c r="H188" s="225"/>
      <c r="I188" s="3">
        <f t="shared" si="14"/>
        <v>5000</v>
      </c>
      <c r="J188" s="3">
        <f>SUM(I188)</f>
        <v>5000</v>
      </c>
      <c r="K188" s="3"/>
      <c r="L188" s="988"/>
    </row>
    <row r="189" spans="1:12" ht="15">
      <c r="A189" s="293"/>
      <c r="B189" s="1093" t="s">
        <v>634</v>
      </c>
      <c r="C189" s="241">
        <v>840</v>
      </c>
      <c r="D189" s="225"/>
      <c r="E189" s="225"/>
      <c r="F189" s="225"/>
      <c r="G189" s="225"/>
      <c r="H189" s="225"/>
      <c r="I189" s="3">
        <f t="shared" si="14"/>
        <v>840</v>
      </c>
      <c r="J189" s="3">
        <f>SUM(I189)</f>
        <v>840</v>
      </c>
      <c r="K189" s="3"/>
      <c r="L189" s="988"/>
    </row>
    <row r="190" spans="1:12" ht="15">
      <c r="A190" s="293"/>
      <c r="B190" s="1093" t="s">
        <v>229</v>
      </c>
      <c r="C190" s="241">
        <v>79</v>
      </c>
      <c r="D190" s="225"/>
      <c r="E190" s="225"/>
      <c r="F190" s="225"/>
      <c r="G190" s="225"/>
      <c r="H190" s="225"/>
      <c r="I190" s="3">
        <f t="shared" si="14"/>
        <v>79</v>
      </c>
      <c r="J190" s="3"/>
      <c r="K190" s="3">
        <f>SUM(I190)</f>
        <v>79</v>
      </c>
      <c r="L190" s="988"/>
    </row>
    <row r="191" spans="1:12" ht="15">
      <c r="A191" s="293"/>
      <c r="B191" s="1093" t="s">
        <v>635</v>
      </c>
      <c r="C191" s="241">
        <v>90000</v>
      </c>
      <c r="D191" s="225"/>
      <c r="E191" s="225"/>
      <c r="F191" s="225"/>
      <c r="G191" s="225"/>
      <c r="H191" s="225"/>
      <c r="I191" s="3">
        <f t="shared" si="14"/>
        <v>90000</v>
      </c>
      <c r="J191" s="3"/>
      <c r="K191" s="3">
        <f>SUM(I191)</f>
        <v>90000</v>
      </c>
      <c r="L191" s="988"/>
    </row>
    <row r="192" spans="1:12" ht="15">
      <c r="A192" s="293"/>
      <c r="B192" s="1093" t="s">
        <v>636</v>
      </c>
      <c r="C192" s="241">
        <v>11947</v>
      </c>
      <c r="D192" s="225"/>
      <c r="E192" s="225"/>
      <c r="F192" s="225"/>
      <c r="G192" s="225"/>
      <c r="H192" s="225"/>
      <c r="I192" s="3">
        <f t="shared" si="14"/>
        <v>11947</v>
      </c>
      <c r="J192" s="3"/>
      <c r="K192" s="3">
        <f>SUM(I192)</f>
        <v>11947</v>
      </c>
      <c r="L192" s="988"/>
    </row>
    <row r="193" spans="1:12" ht="15">
      <c r="A193" s="293"/>
      <c r="B193" s="1094" t="s">
        <v>637</v>
      </c>
      <c r="C193" s="241">
        <v>14520</v>
      </c>
      <c r="D193" s="225"/>
      <c r="E193" s="225"/>
      <c r="F193" s="225"/>
      <c r="G193" s="225"/>
      <c r="H193" s="225"/>
      <c r="I193" s="3">
        <f>SUM(C193)</f>
        <v>14520</v>
      </c>
      <c r="J193" s="3">
        <f>SUM(I193)</f>
        <v>14520</v>
      </c>
      <c r="K193" s="3"/>
      <c r="L193" s="988"/>
    </row>
    <row r="194" spans="1:12" ht="15">
      <c r="A194" s="293"/>
      <c r="B194" s="1093" t="s">
        <v>182</v>
      </c>
      <c r="C194" s="304">
        <v>7000</v>
      </c>
      <c r="D194" s="225"/>
      <c r="E194" s="225"/>
      <c r="F194" s="225"/>
      <c r="G194" s="225"/>
      <c r="H194" s="225"/>
      <c r="I194" s="3">
        <f>SUM(J194:K194)</f>
        <v>7000</v>
      </c>
      <c r="J194" s="3">
        <v>4000</v>
      </c>
      <c r="K194" s="3">
        <v>3000</v>
      </c>
      <c r="L194" s="988"/>
    </row>
    <row r="195" spans="1:12" ht="15">
      <c r="A195" s="293"/>
      <c r="B195" s="1091" t="s">
        <v>1487</v>
      </c>
      <c r="C195" s="736">
        <v>450000</v>
      </c>
      <c r="D195" s="225"/>
      <c r="E195" s="225"/>
      <c r="F195" s="225"/>
      <c r="G195" s="225"/>
      <c r="H195" s="225"/>
      <c r="I195" s="3">
        <f aca="true" t="shared" si="15" ref="I195:I210">SUM(C195)</f>
        <v>450000</v>
      </c>
      <c r="J195" s="3">
        <f>SUM(I195)</f>
        <v>450000</v>
      </c>
      <c r="K195" s="3"/>
      <c r="L195" s="988"/>
    </row>
    <row r="196" spans="1:12" ht="15">
      <c r="A196" s="293"/>
      <c r="B196" s="1091" t="s">
        <v>643</v>
      </c>
      <c r="C196" s="736">
        <v>600000</v>
      </c>
      <c r="D196" s="225"/>
      <c r="E196" s="225"/>
      <c r="F196" s="225"/>
      <c r="G196" s="225"/>
      <c r="H196" s="225"/>
      <c r="I196" s="3">
        <f t="shared" si="15"/>
        <v>600000</v>
      </c>
      <c r="J196" s="3">
        <f>SUM(I196)</f>
        <v>600000</v>
      </c>
      <c r="K196" s="3"/>
      <c r="L196" s="988"/>
    </row>
    <row r="197" spans="1:12" ht="15">
      <c r="A197" s="293"/>
      <c r="B197" s="1091" t="s">
        <v>1489</v>
      </c>
      <c r="C197" s="736">
        <v>85000</v>
      </c>
      <c r="D197" s="225"/>
      <c r="E197" s="225"/>
      <c r="F197" s="225"/>
      <c r="G197" s="225"/>
      <c r="H197" s="225"/>
      <c r="I197" s="3">
        <f t="shared" si="15"/>
        <v>85000</v>
      </c>
      <c r="J197" s="3">
        <f>SUM(I197)</f>
        <v>85000</v>
      </c>
      <c r="K197" s="3"/>
      <c r="L197" s="988"/>
    </row>
    <row r="198" spans="1:12" ht="15">
      <c r="A198" s="293"/>
      <c r="B198" s="1091" t="s">
        <v>1490</v>
      </c>
      <c r="C198" s="736">
        <v>172000</v>
      </c>
      <c r="D198" s="225"/>
      <c r="E198" s="225"/>
      <c r="F198" s="225"/>
      <c r="G198" s="225"/>
      <c r="H198" s="225"/>
      <c r="I198" s="3">
        <f t="shared" si="15"/>
        <v>172000</v>
      </c>
      <c r="J198" s="3"/>
      <c r="K198" s="3">
        <f>SUM(I198)</f>
        <v>172000</v>
      </c>
      <c r="L198" s="988"/>
    </row>
    <row r="199" spans="1:12" ht="15">
      <c r="A199" s="293"/>
      <c r="B199" s="1091" t="s">
        <v>1491</v>
      </c>
      <c r="C199" s="736">
        <v>30000</v>
      </c>
      <c r="D199" s="225"/>
      <c r="E199" s="225"/>
      <c r="F199" s="225"/>
      <c r="G199" s="225"/>
      <c r="H199" s="225"/>
      <c r="I199" s="3">
        <f t="shared" si="15"/>
        <v>30000</v>
      </c>
      <c r="J199" s="3">
        <v>15000</v>
      </c>
      <c r="K199" s="3">
        <v>15000</v>
      </c>
      <c r="L199" s="988"/>
    </row>
    <row r="200" spans="1:12" ht="15">
      <c r="A200" s="293"/>
      <c r="B200" s="1091" t="s">
        <v>1492</v>
      </c>
      <c r="C200" s="304">
        <v>5000</v>
      </c>
      <c r="D200" s="225"/>
      <c r="E200" s="225"/>
      <c r="F200" s="225"/>
      <c r="G200" s="225"/>
      <c r="H200" s="225"/>
      <c r="I200" s="3">
        <f t="shared" si="15"/>
        <v>5000</v>
      </c>
      <c r="J200" s="3">
        <f aca="true" t="shared" si="16" ref="J200:J207">SUM(I200)</f>
        <v>5000</v>
      </c>
      <c r="K200" s="3"/>
      <c r="L200" s="988"/>
    </row>
    <row r="201" spans="1:12" ht="15">
      <c r="A201" s="293"/>
      <c r="B201" s="1091" t="s">
        <v>1493</v>
      </c>
      <c r="C201" s="304">
        <v>4500</v>
      </c>
      <c r="D201" s="225"/>
      <c r="E201" s="225"/>
      <c r="F201" s="225"/>
      <c r="G201" s="225"/>
      <c r="H201" s="225"/>
      <c r="I201" s="3">
        <f t="shared" si="15"/>
        <v>4500</v>
      </c>
      <c r="J201" s="3">
        <f t="shared" si="16"/>
        <v>4500</v>
      </c>
      <c r="K201" s="3"/>
      <c r="L201" s="988"/>
    </row>
    <row r="202" spans="1:12" ht="15">
      <c r="A202" s="293"/>
      <c r="B202" s="1091" t="s">
        <v>238</v>
      </c>
      <c r="C202" s="304">
        <v>1500</v>
      </c>
      <c r="D202" s="225"/>
      <c r="E202" s="225"/>
      <c r="F202" s="225"/>
      <c r="G202" s="225"/>
      <c r="H202" s="225"/>
      <c r="I202" s="3">
        <f t="shared" si="15"/>
        <v>1500</v>
      </c>
      <c r="J202" s="3">
        <f t="shared" si="16"/>
        <v>1500</v>
      </c>
      <c r="K202" s="3"/>
      <c r="L202" s="988"/>
    </row>
    <row r="203" spans="1:12" ht="15">
      <c r="A203" s="293"/>
      <c r="B203" s="1093" t="s">
        <v>1208</v>
      </c>
      <c r="C203" s="304">
        <v>8000</v>
      </c>
      <c r="D203" s="225"/>
      <c r="E203" s="225"/>
      <c r="F203" s="225"/>
      <c r="G203" s="225"/>
      <c r="H203" s="225"/>
      <c r="I203" s="3">
        <f t="shared" si="15"/>
        <v>8000</v>
      </c>
      <c r="J203" s="3">
        <f t="shared" si="16"/>
        <v>8000</v>
      </c>
      <c r="K203" s="3"/>
      <c r="L203" s="988"/>
    </row>
    <row r="204" spans="1:12" ht="15">
      <c r="A204" s="293"/>
      <c r="B204" s="1093" t="s">
        <v>29</v>
      </c>
      <c r="C204" s="304">
        <v>5000</v>
      </c>
      <c r="D204" s="225"/>
      <c r="E204" s="225"/>
      <c r="F204" s="225"/>
      <c r="G204" s="225"/>
      <c r="H204" s="225"/>
      <c r="I204" s="3">
        <f t="shared" si="15"/>
        <v>5000</v>
      </c>
      <c r="J204" s="3">
        <f t="shared" si="16"/>
        <v>5000</v>
      </c>
      <c r="K204" s="3"/>
      <c r="L204" s="988"/>
    </row>
    <row r="205" spans="1:12" ht="15">
      <c r="A205" s="293"/>
      <c r="B205" s="1093" t="s">
        <v>239</v>
      </c>
      <c r="C205" s="304">
        <v>1000</v>
      </c>
      <c r="D205" s="225"/>
      <c r="E205" s="225"/>
      <c r="F205" s="225"/>
      <c r="G205" s="225"/>
      <c r="H205" s="225"/>
      <c r="I205" s="3">
        <f t="shared" si="15"/>
        <v>1000</v>
      </c>
      <c r="J205" s="3">
        <f t="shared" si="16"/>
        <v>1000</v>
      </c>
      <c r="K205" s="3"/>
      <c r="L205" s="988"/>
    </row>
    <row r="206" spans="1:12" ht="15">
      <c r="A206" s="293"/>
      <c r="B206" s="1091" t="s">
        <v>565</v>
      </c>
      <c r="C206" s="304">
        <v>8250</v>
      </c>
      <c r="D206" s="225"/>
      <c r="E206" s="225"/>
      <c r="F206" s="225"/>
      <c r="G206" s="225"/>
      <c r="H206" s="225"/>
      <c r="I206" s="3">
        <f>SUM(C206)</f>
        <v>8250</v>
      </c>
      <c r="J206" s="3">
        <f t="shared" si="16"/>
        <v>8250</v>
      </c>
      <c r="K206" s="3"/>
      <c r="L206" s="988"/>
    </row>
    <row r="207" spans="1:12" ht="30">
      <c r="A207" s="293"/>
      <c r="B207" s="1093" t="s">
        <v>354</v>
      </c>
      <c r="C207" s="304">
        <v>5000</v>
      </c>
      <c r="D207" s="225"/>
      <c r="E207" s="225"/>
      <c r="F207" s="225"/>
      <c r="G207" s="225"/>
      <c r="H207" s="225"/>
      <c r="I207" s="3">
        <f t="shared" si="15"/>
        <v>5000</v>
      </c>
      <c r="J207" s="3">
        <f t="shared" si="16"/>
        <v>5000</v>
      </c>
      <c r="K207" s="3"/>
      <c r="L207" s="988"/>
    </row>
    <row r="208" spans="1:12" ht="15">
      <c r="A208" s="293"/>
      <c r="B208" s="1095" t="s">
        <v>1436</v>
      </c>
      <c r="C208" s="304">
        <v>20000</v>
      </c>
      <c r="D208" s="225"/>
      <c r="E208" s="225"/>
      <c r="F208" s="225"/>
      <c r="G208" s="225"/>
      <c r="H208" s="225"/>
      <c r="I208" s="3">
        <f t="shared" si="15"/>
        <v>20000</v>
      </c>
      <c r="J208" s="3"/>
      <c r="K208" s="3">
        <f>SUM(I208)</f>
        <v>20000</v>
      </c>
      <c r="L208" s="988"/>
    </row>
    <row r="209" spans="1:12" ht="15">
      <c r="A209" s="293"/>
      <c r="B209" s="1093" t="s">
        <v>644</v>
      </c>
      <c r="C209" s="304">
        <v>8000</v>
      </c>
      <c r="D209" s="225"/>
      <c r="E209" s="225"/>
      <c r="F209" s="225"/>
      <c r="G209" s="225"/>
      <c r="H209" s="225"/>
      <c r="I209" s="3">
        <f t="shared" si="15"/>
        <v>8000</v>
      </c>
      <c r="J209" s="3"/>
      <c r="K209" s="3">
        <f>SUM(I209)</f>
        <v>8000</v>
      </c>
      <c r="L209" s="988"/>
    </row>
    <row r="210" spans="1:12" ht="15">
      <c r="A210" s="291"/>
      <c r="B210" s="260" t="s">
        <v>645</v>
      </c>
      <c r="C210" s="607">
        <v>41000</v>
      </c>
      <c r="D210" s="225"/>
      <c r="E210" s="225"/>
      <c r="F210" s="223"/>
      <c r="G210" s="225"/>
      <c r="H210" s="225"/>
      <c r="I210" s="3">
        <f t="shared" si="15"/>
        <v>41000</v>
      </c>
      <c r="J210" s="227">
        <v>41000</v>
      </c>
      <c r="K210" s="227"/>
      <c r="L210" s="228"/>
    </row>
    <row r="211" spans="1:12" ht="15">
      <c r="A211" s="293"/>
      <c r="B211" s="1093" t="s">
        <v>566</v>
      </c>
      <c r="C211" s="225">
        <v>10000</v>
      </c>
      <c r="D211" s="225"/>
      <c r="E211" s="225"/>
      <c r="F211" s="225"/>
      <c r="G211" s="225"/>
      <c r="H211" s="225"/>
      <c r="I211" s="3">
        <f>SUM(C211)</f>
        <v>10000</v>
      </c>
      <c r="J211" s="3">
        <f>SUM(I211)</f>
        <v>10000</v>
      </c>
      <c r="K211" s="3"/>
      <c r="L211" s="988"/>
    </row>
    <row r="212" spans="1:12" ht="15">
      <c r="A212" s="286" t="s">
        <v>1349</v>
      </c>
      <c r="B212" s="218" t="s">
        <v>1029</v>
      </c>
      <c r="C212" s="219">
        <f>SUM(C213:C222)</f>
        <v>321500</v>
      </c>
      <c r="D212" s="219">
        <f aca="true" t="shared" si="17" ref="D212:L212">SUM(D213:D222)</f>
        <v>0</v>
      </c>
      <c r="E212" s="219">
        <f t="shared" si="17"/>
        <v>0</v>
      </c>
      <c r="F212" s="219">
        <f t="shared" si="17"/>
        <v>309300</v>
      </c>
      <c r="G212" s="219">
        <f t="shared" si="17"/>
        <v>60000</v>
      </c>
      <c r="H212" s="219">
        <f t="shared" si="17"/>
        <v>0</v>
      </c>
      <c r="I212" s="219">
        <f t="shared" si="17"/>
        <v>12200</v>
      </c>
      <c r="J212" s="219">
        <f t="shared" si="17"/>
        <v>0</v>
      </c>
      <c r="K212" s="219">
        <f t="shared" si="17"/>
        <v>12200</v>
      </c>
      <c r="L212" s="233">
        <f t="shared" si="17"/>
        <v>0</v>
      </c>
    </row>
    <row r="213" spans="1:12" ht="15">
      <c r="A213" s="288"/>
      <c r="B213" s="753" t="s">
        <v>931</v>
      </c>
      <c r="C213" s="611">
        <v>64000</v>
      </c>
      <c r="D213" s="223"/>
      <c r="E213" s="223"/>
      <c r="F213" s="223">
        <v>64000</v>
      </c>
      <c r="G213" s="223"/>
      <c r="H213" s="223"/>
      <c r="I213" s="223"/>
      <c r="J213" s="223"/>
      <c r="K213" s="223"/>
      <c r="L213" s="224"/>
    </row>
    <row r="214" spans="1:12" ht="15">
      <c r="A214" s="289"/>
      <c r="B214" s="295" t="s">
        <v>1030</v>
      </c>
      <c r="C214" s="607">
        <v>80000</v>
      </c>
      <c r="D214" s="225"/>
      <c r="E214" s="225"/>
      <c r="F214" s="223">
        <f>SUM(C214)</f>
        <v>80000</v>
      </c>
      <c r="G214" s="223"/>
      <c r="H214" s="225"/>
      <c r="I214" s="225"/>
      <c r="J214" s="225"/>
      <c r="K214" s="225"/>
      <c r="L214" s="226"/>
    </row>
    <row r="215" spans="1:12" ht="15">
      <c r="A215" s="289"/>
      <c r="B215" s="295" t="s">
        <v>1031</v>
      </c>
      <c r="C215" s="607">
        <v>15300</v>
      </c>
      <c r="D215" s="225"/>
      <c r="E215" s="225"/>
      <c r="F215" s="223">
        <f aca="true" t="shared" si="18" ref="F215:F232">SUM(C215)</f>
        <v>15300</v>
      </c>
      <c r="G215" s="223"/>
      <c r="H215" s="225"/>
      <c r="I215" s="225"/>
      <c r="J215" s="225"/>
      <c r="K215" s="225"/>
      <c r="L215" s="226"/>
    </row>
    <row r="216" spans="1:12" ht="15">
      <c r="A216" s="289"/>
      <c r="B216" s="295" t="s">
        <v>932</v>
      </c>
      <c r="C216" s="607">
        <v>60000</v>
      </c>
      <c r="D216" s="225"/>
      <c r="E216" s="225"/>
      <c r="F216" s="223">
        <f t="shared" si="18"/>
        <v>60000</v>
      </c>
      <c r="G216" s="223">
        <f>SUM(C216)</f>
        <v>60000</v>
      </c>
      <c r="H216" s="225"/>
      <c r="I216" s="225"/>
      <c r="J216" s="225"/>
      <c r="K216" s="225"/>
      <c r="L216" s="226"/>
    </row>
    <row r="217" spans="1:12" ht="15">
      <c r="A217" s="289"/>
      <c r="B217" s="295" t="s">
        <v>933</v>
      </c>
      <c r="C217" s="607">
        <v>6000</v>
      </c>
      <c r="D217" s="225"/>
      <c r="E217" s="225"/>
      <c r="F217" s="223">
        <f t="shared" si="18"/>
        <v>6000</v>
      </c>
      <c r="G217" s="223"/>
      <c r="H217" s="225"/>
      <c r="I217" s="225"/>
      <c r="J217" s="225"/>
      <c r="K217" s="225"/>
      <c r="L217" s="226"/>
    </row>
    <row r="218" spans="1:12" ht="15">
      <c r="A218" s="289"/>
      <c r="B218" s="295" t="s">
        <v>934</v>
      </c>
      <c r="C218" s="607">
        <v>67500</v>
      </c>
      <c r="D218" s="225"/>
      <c r="E218" s="225"/>
      <c r="F218" s="223">
        <f t="shared" si="18"/>
        <v>67500</v>
      </c>
      <c r="G218" s="223"/>
      <c r="H218" s="225"/>
      <c r="I218" s="225"/>
      <c r="J218" s="225"/>
      <c r="K218" s="225"/>
      <c r="L218" s="226"/>
    </row>
    <row r="219" spans="1:12" ht="15">
      <c r="A219" s="289"/>
      <c r="B219" s="295" t="s">
        <v>935</v>
      </c>
      <c r="C219" s="607">
        <v>4000</v>
      </c>
      <c r="D219" s="225"/>
      <c r="E219" s="225"/>
      <c r="F219" s="223">
        <f t="shared" si="18"/>
        <v>4000</v>
      </c>
      <c r="G219" s="223"/>
      <c r="H219" s="225"/>
      <c r="I219" s="225"/>
      <c r="J219" s="225"/>
      <c r="K219" s="225"/>
      <c r="L219" s="226"/>
    </row>
    <row r="220" spans="1:12" ht="15">
      <c r="A220" s="289"/>
      <c r="B220" s="295" t="s">
        <v>1032</v>
      </c>
      <c r="C220" s="607">
        <v>12200</v>
      </c>
      <c r="D220" s="225"/>
      <c r="E220" s="225"/>
      <c r="F220" s="223"/>
      <c r="G220" s="223"/>
      <c r="H220" s="225"/>
      <c r="I220" s="225">
        <f>SUM(C220:H220)</f>
        <v>12200</v>
      </c>
      <c r="J220" s="225"/>
      <c r="K220" s="225">
        <f>SUM(I220)</f>
        <v>12200</v>
      </c>
      <c r="L220" s="226"/>
    </row>
    <row r="221" spans="1:12" ht="15">
      <c r="A221" s="289"/>
      <c r="B221" s="295" t="s">
        <v>1200</v>
      </c>
      <c r="C221" s="607">
        <v>8000</v>
      </c>
      <c r="D221" s="225"/>
      <c r="E221" s="225"/>
      <c r="F221" s="223">
        <f t="shared" si="18"/>
        <v>8000</v>
      </c>
      <c r="G221" s="223"/>
      <c r="H221" s="225"/>
      <c r="I221" s="225"/>
      <c r="J221" s="225"/>
      <c r="K221" s="225"/>
      <c r="L221" s="226"/>
    </row>
    <row r="222" spans="1:12" ht="15">
      <c r="A222" s="291"/>
      <c r="B222" s="752" t="s">
        <v>945</v>
      </c>
      <c r="C222" s="612">
        <v>4500</v>
      </c>
      <c r="D222" s="227"/>
      <c r="E222" s="227"/>
      <c r="F222" s="223">
        <v>4500</v>
      </c>
      <c r="G222" s="229"/>
      <c r="H222" s="227"/>
      <c r="I222" s="227"/>
      <c r="J222" s="227"/>
      <c r="K222" s="227"/>
      <c r="L222" s="228"/>
    </row>
    <row r="223" spans="1:12" ht="15">
      <c r="A223" s="286" t="s">
        <v>930</v>
      </c>
      <c r="B223" s="218" t="s">
        <v>1033</v>
      </c>
      <c r="C223" s="219">
        <f aca="true" t="shared" si="19" ref="C223:L223">SUM(C224:C232)</f>
        <v>389200</v>
      </c>
      <c r="D223" s="219">
        <f t="shared" si="19"/>
        <v>0</v>
      </c>
      <c r="E223" s="219">
        <f t="shared" si="19"/>
        <v>0</v>
      </c>
      <c r="F223" s="219">
        <f t="shared" si="19"/>
        <v>187200</v>
      </c>
      <c r="G223" s="219">
        <f t="shared" si="19"/>
        <v>21200</v>
      </c>
      <c r="H223" s="219">
        <f t="shared" si="19"/>
        <v>0</v>
      </c>
      <c r="I223" s="219">
        <f t="shared" si="19"/>
        <v>202000</v>
      </c>
      <c r="J223" s="219">
        <f t="shared" si="19"/>
        <v>0</v>
      </c>
      <c r="K223" s="219">
        <f t="shared" si="19"/>
        <v>202000</v>
      </c>
      <c r="L223" s="233">
        <f t="shared" si="19"/>
        <v>0</v>
      </c>
    </row>
    <row r="224" spans="1:12" ht="15">
      <c r="A224" s="288"/>
      <c r="B224" s="261" t="s">
        <v>1034</v>
      </c>
      <c r="C224" s="611">
        <v>25000</v>
      </c>
      <c r="D224" s="223"/>
      <c r="E224" s="223"/>
      <c r="F224" s="223">
        <f t="shared" si="18"/>
        <v>25000</v>
      </c>
      <c r="G224" s="223"/>
      <c r="H224" s="223"/>
      <c r="I224" s="223"/>
      <c r="J224" s="223"/>
      <c r="K224" s="223"/>
      <c r="L224" s="224"/>
    </row>
    <row r="225" spans="1:12" ht="15">
      <c r="A225" s="289"/>
      <c r="B225" s="194" t="s">
        <v>937</v>
      </c>
      <c r="C225" s="607">
        <v>75000</v>
      </c>
      <c r="D225" s="225"/>
      <c r="E225" s="225"/>
      <c r="F225" s="223">
        <f t="shared" si="18"/>
        <v>75000</v>
      </c>
      <c r="G225" s="225"/>
      <c r="H225" s="225"/>
      <c r="I225" s="225"/>
      <c r="J225" s="225"/>
      <c r="K225" s="225"/>
      <c r="L225" s="226"/>
    </row>
    <row r="226" spans="1:12" ht="15">
      <c r="A226" s="289"/>
      <c r="B226" s="194" t="s">
        <v>938</v>
      </c>
      <c r="C226" s="607">
        <v>21200</v>
      </c>
      <c r="D226" s="225"/>
      <c r="E226" s="225"/>
      <c r="F226" s="223">
        <f t="shared" si="18"/>
        <v>21200</v>
      </c>
      <c r="G226" s="225">
        <f>SUM(C226)</f>
        <v>21200</v>
      </c>
      <c r="H226" s="225"/>
      <c r="I226" s="225"/>
      <c r="J226" s="225"/>
      <c r="K226" s="225"/>
      <c r="L226" s="226"/>
    </row>
    <row r="227" spans="1:12" ht="15">
      <c r="A227" s="289"/>
      <c r="B227" s="194" t="s">
        <v>1201</v>
      </c>
      <c r="C227" s="607">
        <v>25000</v>
      </c>
      <c r="D227" s="225"/>
      <c r="E227" s="225"/>
      <c r="F227" s="223">
        <f t="shared" si="18"/>
        <v>25000</v>
      </c>
      <c r="G227" s="225"/>
      <c r="H227" s="225"/>
      <c r="I227" s="225"/>
      <c r="J227" s="225"/>
      <c r="K227" s="225"/>
      <c r="L227" s="226"/>
    </row>
    <row r="228" spans="1:12" ht="15">
      <c r="A228" s="289"/>
      <c r="B228" s="295" t="s">
        <v>939</v>
      </c>
      <c r="C228" s="607">
        <v>80000</v>
      </c>
      <c r="D228" s="225"/>
      <c r="E228" s="225"/>
      <c r="F228" s="223"/>
      <c r="G228" s="225"/>
      <c r="H228" s="225"/>
      <c r="I228" s="225">
        <f>SUM(C228:H228)</f>
        <v>80000</v>
      </c>
      <c r="J228" s="225"/>
      <c r="K228" s="225">
        <f>SUM(I228)</f>
        <v>80000</v>
      </c>
      <c r="L228" s="226"/>
    </row>
    <row r="229" spans="1:12" ht="15">
      <c r="A229" s="291"/>
      <c r="B229" s="295" t="s">
        <v>213</v>
      </c>
      <c r="C229" s="607">
        <v>122000</v>
      </c>
      <c r="D229" s="225"/>
      <c r="E229" s="225"/>
      <c r="F229" s="223"/>
      <c r="G229" s="225"/>
      <c r="H229" s="225"/>
      <c r="I229" s="225">
        <f>SUM(C229:H229)</f>
        <v>122000</v>
      </c>
      <c r="J229" s="225"/>
      <c r="K229" s="225">
        <f>SUM(I229)</f>
        <v>122000</v>
      </c>
      <c r="L229" s="228"/>
    </row>
    <row r="230" spans="1:12" ht="15">
      <c r="A230" s="291"/>
      <c r="B230" s="333" t="s">
        <v>1202</v>
      </c>
      <c r="C230" s="607">
        <v>20000</v>
      </c>
      <c r="D230" s="225"/>
      <c r="E230" s="225"/>
      <c r="F230" s="223">
        <f t="shared" si="18"/>
        <v>20000</v>
      </c>
      <c r="G230" s="225"/>
      <c r="H230" s="225"/>
      <c r="I230" s="227"/>
      <c r="J230" s="227"/>
      <c r="K230" s="227"/>
      <c r="L230" s="228"/>
    </row>
    <row r="231" spans="1:12" ht="15">
      <c r="A231" s="291"/>
      <c r="B231" s="260" t="s">
        <v>1203</v>
      </c>
      <c r="C231" s="607">
        <v>1000</v>
      </c>
      <c r="D231" s="225"/>
      <c r="E231" s="225"/>
      <c r="F231" s="223">
        <f t="shared" si="18"/>
        <v>1000</v>
      </c>
      <c r="G231" s="225"/>
      <c r="H231" s="225"/>
      <c r="I231" s="227"/>
      <c r="J231" s="227"/>
      <c r="K231" s="227"/>
      <c r="L231" s="228"/>
    </row>
    <row r="232" spans="1:12" ht="15">
      <c r="A232" s="291"/>
      <c r="B232" s="334" t="s">
        <v>1204</v>
      </c>
      <c r="C232" s="612">
        <v>20000</v>
      </c>
      <c r="D232" s="229"/>
      <c r="E232" s="229"/>
      <c r="F232" s="223">
        <f t="shared" si="18"/>
        <v>20000</v>
      </c>
      <c r="G232" s="229"/>
      <c r="H232" s="229"/>
      <c r="I232" s="227"/>
      <c r="J232" s="227"/>
      <c r="K232" s="227"/>
      <c r="L232" s="228"/>
    </row>
    <row r="233" spans="1:12" ht="15">
      <c r="A233" s="286" t="s">
        <v>936</v>
      </c>
      <c r="B233" s="232" t="s">
        <v>1035</v>
      </c>
      <c r="C233" s="219">
        <f>SUM('3 a melléklet'!D277)</f>
        <v>1548764</v>
      </c>
      <c r="D233" s="219">
        <f>SUM('3 a melléklet'!C280)</f>
        <v>1054366</v>
      </c>
      <c r="E233" s="219">
        <f>SUM('3 a melléklet'!C281)</f>
        <v>307722</v>
      </c>
      <c r="F233" s="219">
        <f>SUM('3 a melléklet'!C282,'3 a melléklet'!D284:D303)</f>
        <v>186676</v>
      </c>
      <c r="G233" s="219"/>
      <c r="H233" s="220"/>
      <c r="I233" s="220"/>
      <c r="J233" s="220"/>
      <c r="K233" s="220"/>
      <c r="L233" s="221"/>
    </row>
    <row r="234" spans="1:12" ht="15">
      <c r="A234" s="286" t="s">
        <v>940</v>
      </c>
      <c r="B234" s="258" t="s">
        <v>942</v>
      </c>
      <c r="C234" s="219">
        <f>SUM(' 1.c. bevétel'!C23,' 1.c. bevétel'!C32)</f>
        <v>202923</v>
      </c>
      <c r="D234" s="220"/>
      <c r="E234" s="220"/>
      <c r="F234" s="219">
        <f>SUM(C234)</f>
        <v>202923</v>
      </c>
      <c r="G234" s="219"/>
      <c r="H234" s="220"/>
      <c r="I234" s="220"/>
      <c r="J234" s="220"/>
      <c r="K234" s="220"/>
      <c r="L234" s="221"/>
    </row>
    <row r="235" spans="1:12" ht="15">
      <c r="A235" s="286" t="s">
        <v>941</v>
      </c>
      <c r="B235" s="218" t="s">
        <v>943</v>
      </c>
      <c r="C235" s="219">
        <f>SUM(C241,C242,C237,C236)</f>
        <v>1344854.25</v>
      </c>
      <c r="D235" s="219">
        <f aca="true" t="shared" si="20" ref="D235:J235">SUM(D236:D237)</f>
        <v>0</v>
      </c>
      <c r="E235" s="219">
        <f t="shared" si="20"/>
        <v>0</v>
      </c>
      <c r="F235" s="219"/>
      <c r="G235" s="219"/>
      <c r="H235" s="219">
        <f t="shared" si="20"/>
        <v>0</v>
      </c>
      <c r="I235" s="219">
        <f t="shared" si="20"/>
        <v>0</v>
      </c>
      <c r="J235" s="219">
        <f t="shared" si="20"/>
        <v>0</v>
      </c>
      <c r="K235" s="220">
        <f>SUM(K236:K245)</f>
        <v>0</v>
      </c>
      <c r="L235" s="221">
        <f>SUM(L236:L245)</f>
        <v>0</v>
      </c>
    </row>
    <row r="236" spans="1:12" ht="15">
      <c r="A236" s="288" t="s">
        <v>194</v>
      </c>
      <c r="B236" s="240" t="s">
        <v>1036</v>
      </c>
      <c r="C236" s="237">
        <v>10000</v>
      </c>
      <c r="D236" s="223"/>
      <c r="E236" s="223"/>
      <c r="F236" s="223"/>
      <c r="G236" s="223"/>
      <c r="H236" s="223"/>
      <c r="I236" s="223"/>
      <c r="J236" s="223"/>
      <c r="K236" s="223"/>
      <c r="L236" s="224"/>
    </row>
    <row r="237" spans="1:12" ht="15">
      <c r="A237" s="289" t="s">
        <v>196</v>
      </c>
      <c r="B237" s="239" t="s">
        <v>1037</v>
      </c>
      <c r="C237" s="234">
        <f>SUM(C238:C240)</f>
        <v>269000</v>
      </c>
      <c r="D237" s="225"/>
      <c r="E237" s="225"/>
      <c r="F237" s="225"/>
      <c r="G237" s="225"/>
      <c r="H237" s="225"/>
      <c r="I237" s="225"/>
      <c r="J237" s="225"/>
      <c r="K237" s="225"/>
      <c r="L237" s="226"/>
    </row>
    <row r="238" spans="1:12" ht="15">
      <c r="A238" s="289"/>
      <c r="B238" s="195" t="s">
        <v>946</v>
      </c>
      <c r="C238" s="235">
        <v>30000</v>
      </c>
      <c r="D238" s="225"/>
      <c r="E238" s="225"/>
      <c r="F238" s="225"/>
      <c r="G238" s="225"/>
      <c r="H238" s="225"/>
      <c r="I238" s="225"/>
      <c r="J238" s="225"/>
      <c r="K238" s="225"/>
      <c r="L238" s="226"/>
    </row>
    <row r="239" spans="1:12" ht="15">
      <c r="A239" s="289"/>
      <c r="B239" s="195" t="s">
        <v>1038</v>
      </c>
      <c r="C239" s="235">
        <v>20000</v>
      </c>
      <c r="D239" s="225"/>
      <c r="E239" s="225"/>
      <c r="F239" s="225"/>
      <c r="G239" s="225"/>
      <c r="H239" s="225"/>
      <c r="I239" s="225"/>
      <c r="J239" s="225"/>
      <c r="K239" s="225"/>
      <c r="L239" s="226"/>
    </row>
    <row r="240" spans="1:12" ht="15">
      <c r="A240" s="289"/>
      <c r="B240" s="195" t="s">
        <v>646</v>
      </c>
      <c r="C240" s="235">
        <f>226000-7000</f>
        <v>219000</v>
      </c>
      <c r="D240" s="225"/>
      <c r="E240" s="225"/>
      <c r="F240" s="225"/>
      <c r="G240" s="225"/>
      <c r="H240" s="225"/>
      <c r="I240" s="225"/>
      <c r="J240" s="225"/>
      <c r="K240" s="225"/>
      <c r="L240" s="226"/>
    </row>
    <row r="241" spans="1:12" ht="15">
      <c r="A241" s="289" t="s">
        <v>257</v>
      </c>
      <c r="B241" s="1096" t="s">
        <v>647</v>
      </c>
      <c r="C241" s="234">
        <f>SUM('3.b.beruházások céltart'!L51)</f>
        <v>691130.25</v>
      </c>
      <c r="D241" s="225"/>
      <c r="E241" s="225"/>
      <c r="F241" s="225"/>
      <c r="G241" s="225"/>
      <c r="H241" s="225"/>
      <c r="I241" s="225"/>
      <c r="J241" s="225"/>
      <c r="K241" s="225"/>
      <c r="L241" s="226"/>
    </row>
    <row r="242" spans="1:12" ht="15">
      <c r="A242" s="289" t="s">
        <v>1345</v>
      </c>
      <c r="B242" s="1096" t="s">
        <v>947</v>
      </c>
      <c r="C242" s="234">
        <f>SUM(C243:C244)</f>
        <v>374724</v>
      </c>
      <c r="D242" s="225"/>
      <c r="E242" s="225"/>
      <c r="F242" s="225"/>
      <c r="G242" s="225"/>
      <c r="H242" s="225"/>
      <c r="I242" s="225"/>
      <c r="J242" s="225"/>
      <c r="K242" s="225"/>
      <c r="L242" s="226"/>
    </row>
    <row r="243" spans="1:12" ht="15">
      <c r="A243" s="291"/>
      <c r="B243" s="1291" t="s">
        <v>490</v>
      </c>
      <c r="C243" s="238">
        <f>SUM('2.a Int. célt.'!H45)</f>
        <v>84724</v>
      </c>
      <c r="D243" s="227"/>
      <c r="E243" s="227"/>
      <c r="F243" s="227"/>
      <c r="G243" s="227"/>
      <c r="H243" s="227"/>
      <c r="I243" s="227"/>
      <c r="J243" s="227"/>
      <c r="K243" s="227"/>
      <c r="L243" s="228"/>
    </row>
    <row r="244" spans="1:12" ht="15">
      <c r="A244" s="291"/>
      <c r="B244" s="1291" t="s">
        <v>491</v>
      </c>
      <c r="C244" s="238">
        <f>SUM('2.a Int. célt.'!H52)</f>
        <v>290000</v>
      </c>
      <c r="D244" s="227"/>
      <c r="E244" s="227"/>
      <c r="F244" s="227"/>
      <c r="G244" s="227"/>
      <c r="H244" s="227"/>
      <c r="I244" s="227"/>
      <c r="J244" s="227"/>
      <c r="K244" s="227"/>
      <c r="L244" s="228"/>
    </row>
    <row r="245" spans="1:12" ht="15">
      <c r="A245" s="291" t="s">
        <v>293</v>
      </c>
      <c r="B245" s="1072" t="s">
        <v>1039</v>
      </c>
      <c r="C245" s="238"/>
      <c r="D245" s="227"/>
      <c r="E245" s="227"/>
      <c r="F245" s="227"/>
      <c r="G245" s="227"/>
      <c r="H245" s="227"/>
      <c r="I245" s="227"/>
      <c r="J245" s="227"/>
      <c r="K245" s="227"/>
      <c r="L245" s="228"/>
    </row>
    <row r="246" spans="1:14" ht="19.5" customHeight="1">
      <c r="A246" s="231" t="s">
        <v>807</v>
      </c>
      <c r="B246" s="232"/>
      <c r="C246" s="219">
        <f aca="true" t="shared" si="21" ref="C246:L246">SUM(C235,C234,C233,C223,C212,C177,C171,C169,C148,C108,C101,C32,C10)</f>
        <v>9794941.453</v>
      </c>
      <c r="D246" s="219">
        <f t="shared" si="21"/>
        <v>1083921</v>
      </c>
      <c r="E246" s="219">
        <f t="shared" si="21"/>
        <v>341305</v>
      </c>
      <c r="F246" s="219">
        <f t="shared" si="21"/>
        <v>2741524.2029999997</v>
      </c>
      <c r="G246" s="219">
        <f t="shared" si="21"/>
        <v>173939</v>
      </c>
      <c r="H246" s="219">
        <f t="shared" si="21"/>
        <v>1469544</v>
      </c>
      <c r="I246" s="219">
        <f t="shared" si="21"/>
        <v>2813793</v>
      </c>
      <c r="J246" s="219">
        <f t="shared" si="21"/>
        <v>1956062</v>
      </c>
      <c r="K246" s="219">
        <f t="shared" si="21"/>
        <v>542006</v>
      </c>
      <c r="L246" s="233">
        <f t="shared" si="21"/>
        <v>315725</v>
      </c>
      <c r="N246" s="263"/>
    </row>
    <row r="247" spans="1:14" ht="15">
      <c r="A247" s="336"/>
      <c r="B247" s="191"/>
      <c r="N247" s="263"/>
    </row>
    <row r="248" spans="1:2" ht="15">
      <c r="A248" s="336"/>
      <c r="B248" s="192"/>
    </row>
    <row r="249" spans="1:3" ht="15">
      <c r="A249" s="336"/>
      <c r="B249" s="615"/>
      <c r="C249" s="263"/>
    </row>
    <row r="250" spans="1:3" ht="15">
      <c r="A250" s="336"/>
      <c r="B250" s="193"/>
      <c r="C250" s="263"/>
    </row>
    <row r="251" spans="1:3" ht="15">
      <c r="A251" s="336"/>
      <c r="B251" s="193"/>
      <c r="C251" s="263"/>
    </row>
    <row r="252" spans="1:2" ht="15">
      <c r="A252" s="336"/>
      <c r="B252" s="193"/>
    </row>
    <row r="253" spans="1:2" ht="15">
      <c r="A253" s="336"/>
      <c r="B253" s="193"/>
    </row>
    <row r="254" spans="1:2" ht="15">
      <c r="A254" s="336"/>
      <c r="B254" s="193"/>
    </row>
    <row r="255" spans="1:2" ht="15">
      <c r="A255" s="336"/>
      <c r="B255" s="193"/>
    </row>
    <row r="256" spans="1:2" ht="15">
      <c r="A256" s="336"/>
      <c r="B256" s="193"/>
    </row>
    <row r="257" spans="1:2" ht="15">
      <c r="A257" s="336"/>
      <c r="B257" s="193"/>
    </row>
    <row r="258" spans="1:2" ht="15">
      <c r="A258" s="336"/>
      <c r="B258" s="193"/>
    </row>
    <row r="259" spans="1:2" ht="15">
      <c r="A259" s="336"/>
      <c r="B259" s="193"/>
    </row>
    <row r="260" spans="1:2" ht="15">
      <c r="A260" s="336"/>
      <c r="B260" s="193"/>
    </row>
    <row r="261" spans="1:2" ht="15">
      <c r="A261" s="336"/>
      <c r="B261" s="193"/>
    </row>
    <row r="262" spans="1:2" ht="15">
      <c r="A262" s="336"/>
      <c r="B262" s="193"/>
    </row>
    <row r="263" spans="1:2" ht="15">
      <c r="A263" s="336"/>
      <c r="B263" s="193"/>
    </row>
    <row r="264" spans="1:2" ht="15">
      <c r="A264" s="336"/>
      <c r="B264" s="193"/>
    </row>
    <row r="265" spans="1:2" ht="15">
      <c r="A265" s="336"/>
      <c r="B265" s="193"/>
    </row>
    <row r="266" spans="1:2" ht="15">
      <c r="A266" s="336"/>
      <c r="B266" s="193"/>
    </row>
    <row r="267" spans="1:2" ht="15">
      <c r="A267" s="336"/>
      <c r="B267" s="193"/>
    </row>
    <row r="268" spans="1:2" ht="15">
      <c r="A268" s="336"/>
      <c r="B268" s="193"/>
    </row>
    <row r="269" spans="1:2" ht="15">
      <c r="A269" s="336"/>
      <c r="B269" s="193"/>
    </row>
    <row r="270" spans="1:2" ht="15">
      <c r="A270" s="336"/>
      <c r="B270" s="193"/>
    </row>
    <row r="271" spans="1:2" ht="15">
      <c r="A271" s="336"/>
      <c r="B271" s="193"/>
    </row>
    <row r="272" spans="1:2" ht="15">
      <c r="A272" s="336"/>
      <c r="B272" s="193"/>
    </row>
    <row r="273" spans="1:2" ht="15">
      <c r="A273" s="336"/>
      <c r="B273" s="193"/>
    </row>
    <row r="274" spans="1:2" ht="15">
      <c r="A274" s="336"/>
      <c r="B274" s="193"/>
    </row>
    <row r="275" spans="1:2" ht="15">
      <c r="A275" s="336"/>
      <c r="B275" s="193"/>
    </row>
    <row r="276" spans="1:2" ht="15">
      <c r="A276" s="336"/>
      <c r="B276" s="193"/>
    </row>
    <row r="277" spans="1:2" ht="15">
      <c r="A277" s="336"/>
      <c r="B277" s="193"/>
    </row>
    <row r="278" spans="1:2" ht="15">
      <c r="A278" s="336"/>
      <c r="B278" s="193"/>
    </row>
    <row r="279" spans="1:2" ht="15">
      <c r="A279" s="336"/>
      <c r="B279" s="193"/>
    </row>
    <row r="280" spans="1:2" ht="15">
      <c r="A280" s="336"/>
      <c r="B280" s="193"/>
    </row>
    <row r="281" spans="1:2" ht="15">
      <c r="A281" s="336"/>
      <c r="B281" s="193"/>
    </row>
    <row r="282" spans="1:2" ht="15">
      <c r="A282" s="336"/>
      <c r="B282" s="193"/>
    </row>
    <row r="283" spans="1:2" ht="15">
      <c r="A283" s="336"/>
      <c r="B283" s="193"/>
    </row>
    <row r="284" spans="1:2" ht="15">
      <c r="A284" s="336"/>
      <c r="B284" s="193"/>
    </row>
    <row r="285" spans="1:2" ht="15">
      <c r="A285" s="336"/>
      <c r="B285" s="193"/>
    </row>
    <row r="286" spans="1:2" ht="15">
      <c r="A286" s="336"/>
      <c r="B286" s="193"/>
    </row>
    <row r="287" ht="15">
      <c r="B287" s="193"/>
    </row>
    <row r="288" ht="15">
      <c r="B288" s="193"/>
    </row>
    <row r="289" ht="15">
      <c r="B289" s="193"/>
    </row>
    <row r="290" ht="15">
      <c r="B290" s="193"/>
    </row>
    <row r="291" ht="15">
      <c r="B291" s="193"/>
    </row>
    <row r="292" ht="15">
      <c r="B292" s="193"/>
    </row>
    <row r="293" ht="15">
      <c r="B293" s="193"/>
    </row>
    <row r="294" ht="15">
      <c r="B294" s="193"/>
    </row>
    <row r="295" ht="15">
      <c r="B295" s="193"/>
    </row>
    <row r="296" ht="15">
      <c r="B296" s="193"/>
    </row>
    <row r="297" ht="15">
      <c r="B297" s="193"/>
    </row>
    <row r="298" ht="15">
      <c r="B298" s="193"/>
    </row>
    <row r="299" ht="15">
      <c r="B299" s="193"/>
    </row>
    <row r="300" ht="15">
      <c r="B300" s="193"/>
    </row>
    <row r="301" ht="15">
      <c r="B301" s="193"/>
    </row>
    <row r="302" ht="15">
      <c r="B302" s="193"/>
    </row>
    <row r="303" ht="15">
      <c r="B303" s="193"/>
    </row>
    <row r="304" ht="15">
      <c r="B304" s="193"/>
    </row>
    <row r="305" ht="15">
      <c r="B305" s="193"/>
    </row>
    <row r="306" ht="15">
      <c r="B306" s="193"/>
    </row>
    <row r="307" ht="15">
      <c r="B307" s="193"/>
    </row>
    <row r="308" ht="15">
      <c r="B308" s="193"/>
    </row>
    <row r="309" ht="15">
      <c r="B309" s="193"/>
    </row>
    <row r="310" ht="15">
      <c r="B310" s="193"/>
    </row>
    <row r="311" ht="15">
      <c r="B311" s="193"/>
    </row>
    <row r="312" ht="15">
      <c r="B312" s="193"/>
    </row>
    <row r="313" ht="15">
      <c r="B313" s="193"/>
    </row>
    <row r="314" ht="15">
      <c r="B314" s="193"/>
    </row>
    <row r="315" ht="15">
      <c r="B315" s="193"/>
    </row>
    <row r="316" ht="15">
      <c r="B316" s="193"/>
    </row>
    <row r="317" ht="15">
      <c r="B317" s="193"/>
    </row>
    <row r="318" ht="15">
      <c r="B318" s="193"/>
    </row>
    <row r="319" ht="15">
      <c r="B319" s="193"/>
    </row>
    <row r="320" ht="15">
      <c r="B320" s="193"/>
    </row>
    <row r="321" ht="15">
      <c r="B321" s="193"/>
    </row>
    <row r="322" ht="15">
      <c r="B322" s="193"/>
    </row>
    <row r="323" ht="15">
      <c r="B323" s="193"/>
    </row>
    <row r="324" ht="15">
      <c r="B324" s="193"/>
    </row>
    <row r="325" ht="15">
      <c r="B325" s="193"/>
    </row>
    <row r="326" ht="15">
      <c r="B326" s="193"/>
    </row>
    <row r="327" ht="15">
      <c r="B327" s="193"/>
    </row>
    <row r="328" ht="15">
      <c r="B328" s="193"/>
    </row>
    <row r="329" ht="15">
      <c r="B329" s="193"/>
    </row>
    <row r="330" ht="15">
      <c r="B330" s="193"/>
    </row>
    <row r="331" ht="15">
      <c r="B331" s="193"/>
    </row>
    <row r="332" ht="15">
      <c r="B332" s="193"/>
    </row>
    <row r="333" ht="15">
      <c r="B333" s="193"/>
    </row>
    <row r="334" ht="15">
      <c r="B334" s="193"/>
    </row>
    <row r="335" ht="15">
      <c r="B335" s="193"/>
    </row>
    <row r="336" ht="15">
      <c r="B336" s="193"/>
    </row>
    <row r="337" ht="15">
      <c r="B337" s="193"/>
    </row>
    <row r="338" ht="15">
      <c r="B338" s="193"/>
    </row>
    <row r="339" ht="15">
      <c r="B339" s="193"/>
    </row>
    <row r="340" ht="15">
      <c r="B340" s="193"/>
    </row>
    <row r="341" ht="15">
      <c r="B341" s="193"/>
    </row>
    <row r="342" ht="15">
      <c r="B342" s="193"/>
    </row>
    <row r="343" ht="15">
      <c r="B343" s="193"/>
    </row>
    <row r="344" ht="15">
      <c r="B344" s="193"/>
    </row>
    <row r="345" ht="15">
      <c r="B345" s="193"/>
    </row>
    <row r="346" ht="15">
      <c r="B346" s="193"/>
    </row>
    <row r="347" ht="15">
      <c r="B347" s="193"/>
    </row>
    <row r="348" ht="15">
      <c r="B348" s="193"/>
    </row>
    <row r="349" ht="15">
      <c r="B349" s="193"/>
    </row>
    <row r="350" ht="15">
      <c r="B350" s="193"/>
    </row>
    <row r="351" ht="15">
      <c r="B351" s="193"/>
    </row>
    <row r="352" ht="15">
      <c r="B352" s="193"/>
    </row>
    <row r="353" ht="15">
      <c r="B353" s="193"/>
    </row>
    <row r="354" ht="15">
      <c r="B354" s="193"/>
    </row>
    <row r="355" ht="15">
      <c r="B355" s="193"/>
    </row>
    <row r="356" ht="15">
      <c r="B356" s="193"/>
    </row>
    <row r="357" ht="15">
      <c r="B357" s="193"/>
    </row>
    <row r="358" ht="15">
      <c r="B358" s="193"/>
    </row>
    <row r="359" ht="15">
      <c r="B359" s="193"/>
    </row>
    <row r="360" ht="15">
      <c r="B360" s="193"/>
    </row>
    <row r="361" ht="15">
      <c r="B361" s="193"/>
    </row>
    <row r="362" ht="15">
      <c r="B362" s="193"/>
    </row>
    <row r="363" ht="15">
      <c r="B363" s="193"/>
    </row>
    <row r="364" ht="15">
      <c r="B364" s="193"/>
    </row>
    <row r="365" ht="15">
      <c r="B365" s="193"/>
    </row>
    <row r="366" ht="15">
      <c r="B366" s="193"/>
    </row>
    <row r="367" ht="15">
      <c r="B367" s="193"/>
    </row>
    <row r="368" ht="15">
      <c r="B368" s="193"/>
    </row>
    <row r="369" ht="15">
      <c r="B369" s="193"/>
    </row>
    <row r="370" ht="15">
      <c r="B370" s="193"/>
    </row>
    <row r="371" ht="15">
      <c r="B371" s="193"/>
    </row>
    <row r="372" ht="15">
      <c r="B372" s="193"/>
    </row>
    <row r="373" ht="15">
      <c r="B373" s="193"/>
    </row>
  </sheetData>
  <mergeCells count="17">
    <mergeCell ref="K1:L1"/>
    <mergeCell ref="L8:L9"/>
    <mergeCell ref="H7:H9"/>
    <mergeCell ref="I7:I9"/>
    <mergeCell ref="J8:J9"/>
    <mergeCell ref="K8:K9"/>
    <mergeCell ref="A2:L2"/>
    <mergeCell ref="A3:L3"/>
    <mergeCell ref="A6:A9"/>
    <mergeCell ref="B6:B9"/>
    <mergeCell ref="C6:C9"/>
    <mergeCell ref="D6:L6"/>
    <mergeCell ref="D7:D9"/>
    <mergeCell ref="J7:L7"/>
    <mergeCell ref="E7:E9"/>
    <mergeCell ref="F7:F9"/>
    <mergeCell ref="G8:G9"/>
  </mergeCells>
  <printOptions/>
  <pageMargins left="0.38" right="0.39" top="0.65" bottom="0.49" header="0.24" footer="0.5"/>
  <pageSetup horizontalDpi="600" verticalDpi="600" orientation="landscape" paperSize="9" scale="75" r:id="rId1"/>
  <colBreaks count="1" manualBreakCount="1">
    <brk id="12" max="260" man="1"/>
  </colBreaks>
</worksheet>
</file>

<file path=xl/worksheets/sheet12.xml><?xml version="1.0" encoding="utf-8"?>
<worksheet xmlns="http://schemas.openxmlformats.org/spreadsheetml/2006/main" xmlns:r="http://schemas.openxmlformats.org/officeDocument/2006/relationships">
  <sheetPr>
    <tabColor indexed="43"/>
  </sheetPr>
  <dimension ref="A1:E438"/>
  <sheetViews>
    <sheetView zoomScale="80" zoomScaleNormal="80" workbookViewId="0" topLeftCell="A136">
      <selection activeCell="A135" sqref="A1:IV16384"/>
    </sheetView>
  </sheetViews>
  <sheetFormatPr defaultColWidth="9.140625" defaultRowHeight="12.75"/>
  <cols>
    <col min="1" max="1" width="45.00390625" style="1387" customWidth="1"/>
    <col min="2" max="2" width="59.7109375" style="1387" customWidth="1"/>
    <col min="3" max="3" width="13.00390625" style="1412" customWidth="1"/>
    <col min="4" max="4" width="16.140625" style="1411" customWidth="1"/>
    <col min="5" max="16384" width="10.28125" style="1386" customWidth="1"/>
  </cols>
  <sheetData>
    <row r="1" spans="1:4" ht="15">
      <c r="A1" s="618"/>
      <c r="B1" s="618"/>
      <c r="C1" s="1746" t="s">
        <v>395</v>
      </c>
      <c r="D1" s="1746"/>
    </row>
    <row r="2" spans="1:4" ht="15.75">
      <c r="A2" s="1731" t="s">
        <v>751</v>
      </c>
      <c r="B2" s="1731"/>
      <c r="C2" s="1731"/>
      <c r="D2" s="1731"/>
    </row>
    <row r="3" spans="1:4" ht="15.75">
      <c r="A3" s="1745" t="s">
        <v>545</v>
      </c>
      <c r="B3" s="1745"/>
      <c r="C3" s="1745"/>
      <c r="D3" s="1745"/>
    </row>
    <row r="4" spans="3:4" ht="18.75" customHeight="1">
      <c r="C4" s="1741" t="s">
        <v>384</v>
      </c>
      <c r="D4" s="1741"/>
    </row>
    <row r="5" spans="1:4" ht="15" customHeight="1">
      <c r="A5" s="1732" t="s">
        <v>172</v>
      </c>
      <c r="B5" s="1742" t="s">
        <v>1584</v>
      </c>
      <c r="C5" s="1735" t="s">
        <v>546</v>
      </c>
      <c r="D5" s="1736"/>
    </row>
    <row r="6" spans="1:4" ht="18.75" customHeight="1">
      <c r="A6" s="1733"/>
      <c r="B6" s="1743"/>
      <c r="C6" s="1737"/>
      <c r="D6" s="1738"/>
    </row>
    <row r="7" spans="1:4" ht="22.5" customHeight="1">
      <c r="A7" s="1733"/>
      <c r="B7" s="1743"/>
      <c r="C7" s="1737"/>
      <c r="D7" s="1738"/>
    </row>
    <row r="8" spans="1:4" ht="18" customHeight="1">
      <c r="A8" s="1734"/>
      <c r="B8" s="1744"/>
      <c r="C8" s="1739"/>
      <c r="D8" s="1740"/>
    </row>
    <row r="9" spans="1:4" ht="42" customHeight="1">
      <c r="A9" s="1649" t="s">
        <v>657</v>
      </c>
      <c r="B9" s="1650"/>
      <c r="C9" s="1651"/>
      <c r="D9" s="619">
        <f>SUM(D25,D26,D27,D10)</f>
        <v>837544.203</v>
      </c>
    </row>
    <row r="10" spans="1:4" ht="21" customHeight="1">
      <c r="A10" s="1797" t="s">
        <v>658</v>
      </c>
      <c r="B10" s="1798"/>
      <c r="C10" s="1799"/>
      <c r="D10" s="1388">
        <f>SUM(D11:D24)</f>
        <v>401313</v>
      </c>
    </row>
    <row r="11" spans="1:4" ht="68.25" customHeight="1">
      <c r="A11" s="620" t="s">
        <v>846</v>
      </c>
      <c r="B11" s="1787" t="s">
        <v>241</v>
      </c>
      <c r="C11" s="1788"/>
      <c r="D11" s="919">
        <f>SUM('3.1. terv alapegys'!C12)</f>
        <v>4555</v>
      </c>
    </row>
    <row r="12" spans="1:4" ht="30" customHeight="1">
      <c r="A12" s="621" t="s">
        <v>847</v>
      </c>
      <c r="B12" s="1789" t="s">
        <v>242</v>
      </c>
      <c r="C12" s="1790"/>
      <c r="D12" s="919">
        <f>SUM('3.1. terv alapegys'!C13)</f>
        <v>9574</v>
      </c>
    </row>
    <row r="13" spans="1:4" ht="45.75" customHeight="1">
      <c r="A13" s="622" t="s">
        <v>138</v>
      </c>
      <c r="B13" s="1789" t="s">
        <v>1086</v>
      </c>
      <c r="C13" s="1790"/>
      <c r="D13" s="919">
        <f>SUM('3.1. terv alapegys'!C14)</f>
        <v>26747</v>
      </c>
    </row>
    <row r="14" spans="1:4" ht="63" customHeight="1">
      <c r="A14" s="620" t="s">
        <v>849</v>
      </c>
      <c r="B14" s="1789" t="s">
        <v>75</v>
      </c>
      <c r="C14" s="1790"/>
      <c r="D14" s="919">
        <f>SUM('3.1. terv alapegys'!C15)</f>
        <v>22099</v>
      </c>
    </row>
    <row r="15" spans="1:4" ht="45" customHeight="1">
      <c r="A15" s="622" t="s">
        <v>850</v>
      </c>
      <c r="B15" s="1789" t="s">
        <v>76</v>
      </c>
      <c r="C15" s="1790"/>
      <c r="D15" s="919">
        <f>SUM('3.1. terv alapegys'!C16)</f>
        <v>18418</v>
      </c>
    </row>
    <row r="16" spans="1:4" ht="60" customHeight="1">
      <c r="A16" s="623" t="s">
        <v>851</v>
      </c>
      <c r="B16" s="1789" t="s">
        <v>77</v>
      </c>
      <c r="C16" s="1790"/>
      <c r="D16" s="919">
        <f>SUM('3.1. terv alapegys'!C17)</f>
        <v>17728</v>
      </c>
    </row>
    <row r="17" spans="1:4" ht="66.75" customHeight="1">
      <c r="A17" s="623" t="s">
        <v>852</v>
      </c>
      <c r="B17" s="1789" t="s">
        <v>78</v>
      </c>
      <c r="C17" s="1790"/>
      <c r="D17" s="919">
        <f>SUM('3.1. terv alapegys'!C18)</f>
        <v>14073</v>
      </c>
    </row>
    <row r="18" spans="1:4" ht="75" customHeight="1">
      <c r="A18" s="621" t="s">
        <v>853</v>
      </c>
      <c r="B18" s="1789" t="s">
        <v>79</v>
      </c>
      <c r="C18" s="1790"/>
      <c r="D18" s="919">
        <f>SUM('3.1. terv alapegys'!C19)</f>
        <v>40025</v>
      </c>
    </row>
    <row r="19" spans="1:4" ht="45" customHeight="1">
      <c r="A19" s="621" t="s">
        <v>854</v>
      </c>
      <c r="B19" s="1789" t="s">
        <v>245</v>
      </c>
      <c r="C19" s="1790"/>
      <c r="D19" s="919">
        <f>SUM('3.1. terv alapegys'!C20)</f>
        <v>71960</v>
      </c>
    </row>
    <row r="20" spans="1:4" ht="45" customHeight="1">
      <c r="A20" s="621" t="s">
        <v>650</v>
      </c>
      <c r="B20" s="1789" t="s">
        <v>80</v>
      </c>
      <c r="C20" s="1790"/>
      <c r="D20" s="919">
        <f>SUM('3.1. terv alapegys'!C21)</f>
        <v>34658</v>
      </c>
    </row>
    <row r="21" spans="1:4" ht="63" customHeight="1">
      <c r="A21" s="624" t="s">
        <v>752</v>
      </c>
      <c r="B21" s="1789" t="s">
        <v>81</v>
      </c>
      <c r="C21" s="1790"/>
      <c r="D21" s="919">
        <f>SUM('3.1. terv alapegys'!C22)</f>
        <v>20499</v>
      </c>
    </row>
    <row r="22" spans="1:4" ht="45" customHeight="1">
      <c r="A22" s="621" t="s">
        <v>753</v>
      </c>
      <c r="B22" s="1789" t="s">
        <v>249</v>
      </c>
      <c r="C22" s="1790"/>
      <c r="D22" s="919">
        <f>SUM('3.1. terv alapegys'!C23)</f>
        <v>50216</v>
      </c>
    </row>
    <row r="23" spans="1:4" ht="35.25" customHeight="1">
      <c r="A23" s="625" t="s">
        <v>652</v>
      </c>
      <c r="B23" s="1789" t="s">
        <v>244</v>
      </c>
      <c r="C23" s="1790"/>
      <c r="D23" s="919">
        <f>SUM('3.1. terv alapegys'!C24)</f>
        <v>34421</v>
      </c>
    </row>
    <row r="24" spans="1:4" ht="35.25" customHeight="1">
      <c r="A24" s="942" t="s">
        <v>754</v>
      </c>
      <c r="B24" s="1800" t="s">
        <v>82</v>
      </c>
      <c r="C24" s="1801"/>
      <c r="D24" s="921">
        <f>SUM('3.1. terv alapegys'!C25)</f>
        <v>36340</v>
      </c>
    </row>
    <row r="25" spans="1:4" ht="21" customHeight="1">
      <c r="A25" s="1613" t="s">
        <v>1197</v>
      </c>
      <c r="B25" s="1614"/>
      <c r="C25" s="1615"/>
      <c r="D25" s="1389">
        <f>SUM('3.1. terv alapegys'!C26)</f>
        <v>301009.20300000004</v>
      </c>
    </row>
    <row r="26" spans="1:4" ht="21" customHeight="1">
      <c r="A26" s="1613" t="s">
        <v>236</v>
      </c>
      <c r="B26" s="1614"/>
      <c r="C26" s="1615"/>
      <c r="D26" s="1389">
        <f>SUM('3.1. terv alapegys'!C27)</f>
        <v>115950</v>
      </c>
    </row>
    <row r="27" spans="1:4" ht="21" customHeight="1">
      <c r="A27" s="1613" t="s">
        <v>653</v>
      </c>
      <c r="B27" s="1614"/>
      <c r="C27" s="1615"/>
      <c r="D27" s="1389">
        <f>SUM(D28:D30)</f>
        <v>19272</v>
      </c>
    </row>
    <row r="28" spans="1:4" ht="28.5" customHeight="1">
      <c r="A28" s="1327" t="s">
        <v>654</v>
      </c>
      <c r="B28" s="1791" t="s">
        <v>1179</v>
      </c>
      <c r="C28" s="1792"/>
      <c r="D28" s="1328">
        <f>SUM('3.1. terv alapegys'!C29)</f>
        <v>6773</v>
      </c>
    </row>
    <row r="29" spans="1:4" ht="28.5" customHeight="1">
      <c r="A29" s="620" t="s">
        <v>655</v>
      </c>
      <c r="B29" s="1793"/>
      <c r="C29" s="1794"/>
      <c r="D29" s="920">
        <f>SUM('3.1. terv alapegys'!C30)</f>
        <v>2999</v>
      </c>
    </row>
    <row r="30" spans="1:4" ht="28.5" customHeight="1">
      <c r="A30" s="626" t="s">
        <v>659</v>
      </c>
      <c r="B30" s="1795"/>
      <c r="C30" s="1796"/>
      <c r="D30" s="1329">
        <f>SUM('3.1. terv alapegys'!C31)</f>
        <v>9500</v>
      </c>
    </row>
    <row r="31" spans="1:4" ht="42.75" customHeight="1">
      <c r="A31" s="1696" t="s">
        <v>660</v>
      </c>
      <c r="B31" s="1697"/>
      <c r="C31" s="1698"/>
      <c r="D31" s="1326">
        <f>SUM(D32,D43,D52,D62,D70,D74,D79,D86,D91,D93)</f>
        <v>1031158</v>
      </c>
    </row>
    <row r="32" spans="1:4" ht="22.5" customHeight="1">
      <c r="A32" s="1684" t="s">
        <v>661</v>
      </c>
      <c r="B32" s="1685"/>
      <c r="C32" s="1686"/>
      <c r="D32" s="1390">
        <f>SUM(D33:D42)</f>
        <v>109283</v>
      </c>
    </row>
    <row r="33" spans="1:4" ht="45.75" customHeight="1">
      <c r="A33" s="627" t="s">
        <v>662</v>
      </c>
      <c r="B33" s="1713" t="s">
        <v>142</v>
      </c>
      <c r="C33" s="1714"/>
      <c r="D33" s="632">
        <f>SUM('3.1. terv alapegys'!C34)</f>
        <v>33600</v>
      </c>
    </row>
    <row r="34" spans="1:4" ht="45.75" customHeight="1">
      <c r="A34" s="628" t="s">
        <v>663</v>
      </c>
      <c r="B34" s="1673" t="s">
        <v>143</v>
      </c>
      <c r="C34" s="1674"/>
      <c r="D34" s="633">
        <f>SUM('3.1. terv alapegys'!C35)</f>
        <v>22200</v>
      </c>
    </row>
    <row r="35" spans="1:4" ht="37.5" customHeight="1">
      <c r="A35" s="628" t="s">
        <v>664</v>
      </c>
      <c r="B35" s="1673" t="s">
        <v>755</v>
      </c>
      <c r="C35" s="1674"/>
      <c r="D35" s="633">
        <f>SUM('3.1. terv alapegys'!C36)</f>
        <v>8400</v>
      </c>
    </row>
    <row r="36" spans="1:4" ht="39.75" customHeight="1">
      <c r="A36" s="628" t="s">
        <v>665</v>
      </c>
      <c r="B36" s="1673" t="s">
        <v>74</v>
      </c>
      <c r="C36" s="1674"/>
      <c r="D36" s="633">
        <f>SUM('3.1. terv alapegys'!C37)</f>
        <v>6600</v>
      </c>
    </row>
    <row r="37" spans="1:4" ht="39.75" customHeight="1">
      <c r="A37" s="628" t="s">
        <v>666</v>
      </c>
      <c r="B37" s="1673" t="s">
        <v>144</v>
      </c>
      <c r="C37" s="1674"/>
      <c r="D37" s="633">
        <f>SUM('3.1. terv alapegys'!C38)</f>
        <v>5100</v>
      </c>
    </row>
    <row r="38" spans="1:4" ht="55.5" customHeight="1">
      <c r="A38" s="628" t="s">
        <v>667</v>
      </c>
      <c r="B38" s="1673" t="s">
        <v>756</v>
      </c>
      <c r="C38" s="1674"/>
      <c r="D38" s="633">
        <f>SUM('3.1. terv alapegys'!C39)</f>
        <v>3383</v>
      </c>
    </row>
    <row r="39" spans="1:4" ht="31.5" customHeight="1">
      <c r="A39" s="628" t="s">
        <v>668</v>
      </c>
      <c r="B39" s="1673" t="s">
        <v>616</v>
      </c>
      <c r="C39" s="1674"/>
      <c r="D39" s="633">
        <f>SUM('3.1. terv alapegys'!C40)</f>
        <v>11000</v>
      </c>
    </row>
    <row r="40" spans="1:4" ht="66" customHeight="1">
      <c r="A40" s="628" t="s">
        <v>669</v>
      </c>
      <c r="B40" s="1673" t="s">
        <v>864</v>
      </c>
      <c r="C40" s="1674"/>
      <c r="D40" s="633">
        <f>SUM('3.1. terv alapegys'!C41)</f>
        <v>10000</v>
      </c>
    </row>
    <row r="41" spans="1:4" ht="57" customHeight="1">
      <c r="A41" s="628" t="s">
        <v>670</v>
      </c>
      <c r="B41" s="1673" t="s">
        <v>1120</v>
      </c>
      <c r="C41" s="1674"/>
      <c r="D41" s="633">
        <f>SUM('3.1. terv alapegys'!C42)</f>
        <v>5000</v>
      </c>
    </row>
    <row r="42" spans="1:4" ht="47.25" customHeight="1">
      <c r="A42" s="670" t="s">
        <v>671</v>
      </c>
      <c r="B42" s="1673" t="s">
        <v>1121</v>
      </c>
      <c r="C42" s="1674"/>
      <c r="D42" s="633">
        <f>SUM('3.1. terv alapegys'!C43)</f>
        <v>4000</v>
      </c>
    </row>
    <row r="43" spans="1:4" ht="22.5" customHeight="1">
      <c r="A43" s="1684" t="s">
        <v>676</v>
      </c>
      <c r="B43" s="1685"/>
      <c r="C43" s="1686"/>
      <c r="D43" s="1390">
        <f>SUM(D44:D51)</f>
        <v>179769</v>
      </c>
    </row>
    <row r="44" spans="1:4" ht="39.75" customHeight="1">
      <c r="A44" s="627" t="s">
        <v>677</v>
      </c>
      <c r="B44" s="1713" t="s">
        <v>867</v>
      </c>
      <c r="C44" s="1714"/>
      <c r="D44" s="632">
        <f>SUM('3.1. terv alapegys'!C45)</f>
        <v>10000</v>
      </c>
    </row>
    <row r="45" spans="1:4" ht="54" customHeight="1">
      <c r="A45" s="628" t="s">
        <v>678</v>
      </c>
      <c r="B45" s="1673" t="s">
        <v>347</v>
      </c>
      <c r="C45" s="1674"/>
      <c r="D45" s="633">
        <f>SUM('3.1. terv alapegys'!C46)</f>
        <v>80755</v>
      </c>
    </row>
    <row r="46" spans="1:4" ht="41.25" customHeight="1">
      <c r="A46" s="628" t="s">
        <v>679</v>
      </c>
      <c r="B46" s="1673" t="s">
        <v>348</v>
      </c>
      <c r="C46" s="1674"/>
      <c r="D46" s="633">
        <f>SUM('3.1. terv alapegys'!C47)</f>
        <v>35514</v>
      </c>
    </row>
    <row r="47" spans="1:4" ht="56.25" customHeight="1">
      <c r="A47" s="628" t="s">
        <v>680</v>
      </c>
      <c r="B47" s="1673" t="s">
        <v>349</v>
      </c>
      <c r="C47" s="1674"/>
      <c r="D47" s="633">
        <f>SUM('3.1. terv alapegys'!C48)</f>
        <v>3000</v>
      </c>
    </row>
    <row r="48" spans="1:4" ht="56.25" customHeight="1">
      <c r="A48" s="628" t="s">
        <v>681</v>
      </c>
      <c r="B48" s="1673" t="s">
        <v>868</v>
      </c>
      <c r="C48" s="1674"/>
      <c r="D48" s="633">
        <f>SUM('3.1. terv alapegys'!C49)</f>
        <v>8500</v>
      </c>
    </row>
    <row r="49" spans="1:4" ht="41.25" customHeight="1">
      <c r="A49" s="628" t="s">
        <v>682</v>
      </c>
      <c r="B49" s="1673" t="s">
        <v>350</v>
      </c>
      <c r="C49" s="1674"/>
      <c r="D49" s="633">
        <f>SUM('3.1. terv alapegys'!C50)</f>
        <v>30000</v>
      </c>
    </row>
    <row r="50" spans="1:4" ht="45" customHeight="1">
      <c r="A50" s="628" t="s">
        <v>683</v>
      </c>
      <c r="B50" s="1673" t="s">
        <v>869</v>
      </c>
      <c r="C50" s="1674"/>
      <c r="D50" s="633">
        <f>SUM('3.1. terv alapegys'!C51)</f>
        <v>2000</v>
      </c>
    </row>
    <row r="51" spans="1:4" ht="67.5" customHeight="1">
      <c r="A51" s="629" t="s">
        <v>684</v>
      </c>
      <c r="B51" s="1715" t="s">
        <v>201</v>
      </c>
      <c r="C51" s="1716"/>
      <c r="D51" s="739">
        <f>SUM('3.1. terv alapegys'!C52)</f>
        <v>10000</v>
      </c>
    </row>
    <row r="52" spans="1:4" ht="21" customHeight="1">
      <c r="A52" s="1684" t="s">
        <v>685</v>
      </c>
      <c r="B52" s="1685"/>
      <c r="C52" s="1686"/>
      <c r="D52" s="1390">
        <f>SUM(D53:D61)</f>
        <v>37540</v>
      </c>
    </row>
    <row r="53" spans="1:4" ht="51.75" customHeight="1">
      <c r="A53" s="627" t="s">
        <v>686</v>
      </c>
      <c r="B53" s="1729" t="s">
        <v>870</v>
      </c>
      <c r="C53" s="1730"/>
      <c r="D53" s="632">
        <f>SUM('3.1. terv alapegys'!C54)</f>
        <v>2088</v>
      </c>
    </row>
    <row r="54" spans="1:4" ht="53.25" customHeight="1">
      <c r="A54" s="628" t="s">
        <v>246</v>
      </c>
      <c r="B54" s="1701" t="s">
        <v>1096</v>
      </c>
      <c r="C54" s="1702"/>
      <c r="D54" s="633">
        <f>SUM('3.1. terv alapegys'!C55)</f>
        <v>456</v>
      </c>
    </row>
    <row r="55" spans="1:4" ht="63.75" customHeight="1">
      <c r="A55" s="628" t="s">
        <v>687</v>
      </c>
      <c r="B55" s="1727" t="s">
        <v>617</v>
      </c>
      <c r="C55" s="1728"/>
      <c r="D55" s="633">
        <f>SUM('3.1. terv alapegys'!C56)</f>
        <v>10000</v>
      </c>
    </row>
    <row r="56" spans="1:4" ht="77.25" customHeight="1">
      <c r="A56" s="628" t="s">
        <v>688</v>
      </c>
      <c r="B56" s="1727" t="s">
        <v>1097</v>
      </c>
      <c r="C56" s="1728"/>
      <c r="D56" s="633">
        <f>SUM('3.1. terv alapegys'!C57)</f>
        <v>14476</v>
      </c>
    </row>
    <row r="57" spans="1:4" ht="48" customHeight="1">
      <c r="A57" s="628" t="s">
        <v>578</v>
      </c>
      <c r="B57" s="1727" t="s">
        <v>1497</v>
      </c>
      <c r="C57" s="1728"/>
      <c r="D57" s="633">
        <f>SUM('3.1. terv alapegys'!C58)</f>
        <v>1420</v>
      </c>
    </row>
    <row r="58" spans="1:4" ht="55.5" customHeight="1">
      <c r="A58" s="628" t="s">
        <v>776</v>
      </c>
      <c r="B58" s="1673" t="s">
        <v>250</v>
      </c>
      <c r="C58" s="1674"/>
      <c r="D58" s="633">
        <f>SUM('3.1. terv alapegys'!C59)</f>
        <v>2500</v>
      </c>
    </row>
    <row r="59" spans="1:4" ht="31.5" customHeight="1">
      <c r="A59" s="628" t="s">
        <v>777</v>
      </c>
      <c r="B59" s="1673" t="s">
        <v>575</v>
      </c>
      <c r="C59" s="1674"/>
      <c r="D59" s="633">
        <f>SUM('3.1. terv alapegys'!C60)</f>
        <v>100</v>
      </c>
    </row>
    <row r="60" spans="1:4" ht="57.75" customHeight="1">
      <c r="A60" s="628" t="s">
        <v>778</v>
      </c>
      <c r="B60" s="1673" t="s">
        <v>1098</v>
      </c>
      <c r="C60" s="1674"/>
      <c r="D60" s="633">
        <f>SUM('3.1. terv alapegys'!C61)</f>
        <v>5000</v>
      </c>
    </row>
    <row r="61" spans="1:4" ht="31.5" customHeight="1">
      <c r="A61" s="669" t="s">
        <v>779</v>
      </c>
      <c r="B61" s="1673" t="s">
        <v>576</v>
      </c>
      <c r="C61" s="1674"/>
      <c r="D61" s="738">
        <f>SUM('3.1. terv alapegys'!C62)</f>
        <v>1500</v>
      </c>
    </row>
    <row r="62" spans="1:4" ht="23.25" customHeight="1">
      <c r="A62" s="1684" t="s">
        <v>904</v>
      </c>
      <c r="B62" s="1685"/>
      <c r="C62" s="1686"/>
      <c r="D62" s="1390">
        <f>SUM(D63:D69)</f>
        <v>216500</v>
      </c>
    </row>
    <row r="63" spans="1:4" ht="31.5" customHeight="1">
      <c r="A63" s="627" t="s">
        <v>780</v>
      </c>
      <c r="B63" s="1713" t="s">
        <v>251</v>
      </c>
      <c r="C63" s="1714"/>
      <c r="D63" s="632">
        <f>SUM('3.1. terv alapegys'!C64)</f>
        <v>60000</v>
      </c>
    </row>
    <row r="64" spans="1:4" ht="64.5" customHeight="1">
      <c r="A64" s="628" t="s">
        <v>781</v>
      </c>
      <c r="B64" s="1673" t="s">
        <v>202</v>
      </c>
      <c r="C64" s="1674"/>
      <c r="D64" s="633">
        <f>SUM('3.1. terv alapegys'!C65)</f>
        <v>108000</v>
      </c>
    </row>
    <row r="65" spans="1:4" ht="36" customHeight="1">
      <c r="A65" s="628" t="s">
        <v>782</v>
      </c>
      <c r="B65" s="1673" t="s">
        <v>1558</v>
      </c>
      <c r="C65" s="1674"/>
      <c r="D65" s="633">
        <f>SUM('3.1. terv alapegys'!C66)</f>
        <v>28000</v>
      </c>
    </row>
    <row r="66" spans="1:4" ht="31.5" customHeight="1">
      <c r="A66" s="628" t="s">
        <v>783</v>
      </c>
      <c r="B66" s="1673" t="s">
        <v>252</v>
      </c>
      <c r="C66" s="1674"/>
      <c r="D66" s="633">
        <f>SUM('3.1. terv alapegys'!C67)</f>
        <v>15000</v>
      </c>
    </row>
    <row r="67" spans="1:4" ht="40.5" customHeight="1">
      <c r="A67" s="628" t="s">
        <v>248</v>
      </c>
      <c r="B67" s="1673" t="s">
        <v>1099</v>
      </c>
      <c r="C67" s="1674"/>
      <c r="D67" s="633">
        <f>SUM('3.1. terv alapegys'!C68)</f>
        <v>1500</v>
      </c>
    </row>
    <row r="68" spans="1:4" ht="30" customHeight="1">
      <c r="A68" s="628" t="s">
        <v>784</v>
      </c>
      <c r="B68" s="1673" t="s">
        <v>1547</v>
      </c>
      <c r="C68" s="1674"/>
      <c r="D68" s="633">
        <f>SUM('3.1. terv alapegys'!C69)</f>
        <v>2000</v>
      </c>
    </row>
    <row r="69" spans="1:4" ht="22.5" customHeight="1">
      <c r="A69" s="629" t="s">
        <v>247</v>
      </c>
      <c r="B69" s="1715" t="s">
        <v>1100</v>
      </c>
      <c r="C69" s="1716"/>
      <c r="D69" s="739">
        <f>SUM('3.1. terv alapegys'!C70)</f>
        <v>2000</v>
      </c>
    </row>
    <row r="70" spans="1:4" ht="27" customHeight="1">
      <c r="A70" s="1684" t="s">
        <v>905</v>
      </c>
      <c r="B70" s="1685"/>
      <c r="C70" s="1686"/>
      <c r="D70" s="1391">
        <f>SUM(D71:D73)</f>
        <v>9600</v>
      </c>
    </row>
    <row r="71" spans="1:4" ht="45.75" customHeight="1">
      <c r="A71" s="627" t="s">
        <v>785</v>
      </c>
      <c r="B71" s="1713" t="s">
        <v>1101</v>
      </c>
      <c r="C71" s="1714"/>
      <c r="D71" s="632">
        <f>SUM('3.1. terv alapegys'!C72)</f>
        <v>5000</v>
      </c>
    </row>
    <row r="72" spans="1:4" ht="34.5" customHeight="1">
      <c r="A72" s="628" t="s">
        <v>786</v>
      </c>
      <c r="B72" s="1673" t="s">
        <v>1102</v>
      </c>
      <c r="C72" s="1674"/>
      <c r="D72" s="633">
        <f>SUM('3.1. terv alapegys'!C73)</f>
        <v>3100</v>
      </c>
    </row>
    <row r="73" spans="1:4" ht="39" customHeight="1">
      <c r="A73" s="669" t="s">
        <v>787</v>
      </c>
      <c r="B73" s="1726" t="s">
        <v>1103</v>
      </c>
      <c r="C73" s="1726"/>
      <c r="D73" s="738">
        <f>SUM('3.1. terv alapegys'!C74)</f>
        <v>1500</v>
      </c>
    </row>
    <row r="74" spans="1:4" ht="23.25" customHeight="1">
      <c r="A74" s="1684" t="s">
        <v>906</v>
      </c>
      <c r="B74" s="1685"/>
      <c r="C74" s="1686"/>
      <c r="D74" s="1390">
        <f>SUM(D75:D78)</f>
        <v>190920</v>
      </c>
    </row>
    <row r="75" spans="1:4" ht="48.75" customHeight="1">
      <c r="A75" s="627" t="s">
        <v>788</v>
      </c>
      <c r="B75" s="1699" t="s">
        <v>411</v>
      </c>
      <c r="C75" s="1724"/>
      <c r="D75" s="632">
        <f>SUM('3.1. terv alapegys'!C76)</f>
        <v>36660</v>
      </c>
    </row>
    <row r="76" spans="1:4" ht="33.75" customHeight="1">
      <c r="A76" s="628" t="s">
        <v>789</v>
      </c>
      <c r="B76" s="1701" t="s">
        <v>412</v>
      </c>
      <c r="C76" s="1702"/>
      <c r="D76" s="633">
        <f>SUM('3.1. terv alapegys'!C77)</f>
        <v>137480</v>
      </c>
    </row>
    <row r="77" spans="1:4" ht="63" customHeight="1">
      <c r="A77" s="628" t="s">
        <v>790</v>
      </c>
      <c r="B77" s="1717" t="s">
        <v>1467</v>
      </c>
      <c r="C77" s="1718"/>
      <c r="D77" s="633">
        <f>SUM('3.1. terv alapegys'!C78)</f>
        <v>6780</v>
      </c>
    </row>
    <row r="78" spans="1:4" ht="56.25" customHeight="1">
      <c r="A78" s="629" t="s">
        <v>791</v>
      </c>
      <c r="B78" s="1719" t="s">
        <v>866</v>
      </c>
      <c r="C78" s="1720"/>
      <c r="D78" s="739">
        <f>SUM('3.1. terv alapegys'!C79)</f>
        <v>10000</v>
      </c>
    </row>
    <row r="79" spans="1:4" ht="22.5" customHeight="1">
      <c r="A79" s="1721" t="s">
        <v>792</v>
      </c>
      <c r="B79" s="1722"/>
      <c r="C79" s="1723"/>
      <c r="D79" s="1392">
        <f>SUM(D80:D85)</f>
        <v>15420</v>
      </c>
    </row>
    <row r="80" spans="1:4" ht="55.5" customHeight="1">
      <c r="A80" s="627" t="s">
        <v>1315</v>
      </c>
      <c r="B80" s="1713" t="s">
        <v>203</v>
      </c>
      <c r="C80" s="1714"/>
      <c r="D80" s="632">
        <f>SUM('3.1. terv alapegys'!C81)</f>
        <v>1500</v>
      </c>
    </row>
    <row r="81" spans="1:4" ht="31.5" customHeight="1">
      <c r="A81" s="628" t="s">
        <v>793</v>
      </c>
      <c r="B81" s="1673" t="s">
        <v>204</v>
      </c>
      <c r="C81" s="1674"/>
      <c r="D81" s="633">
        <f>SUM('3.1. terv alapegys'!C82)</f>
        <v>7500</v>
      </c>
    </row>
    <row r="82" spans="1:4" ht="39" customHeight="1">
      <c r="A82" s="628" t="s">
        <v>794</v>
      </c>
      <c r="B82" s="1673" t="s">
        <v>205</v>
      </c>
      <c r="C82" s="1674"/>
      <c r="D82" s="633">
        <f>SUM('3.1. terv alapegys'!C83)</f>
        <v>2300</v>
      </c>
    </row>
    <row r="83" spans="1:4" ht="35.25" customHeight="1">
      <c r="A83" s="628" t="s">
        <v>795</v>
      </c>
      <c r="B83" s="1673" t="s">
        <v>206</v>
      </c>
      <c r="C83" s="1674"/>
      <c r="D83" s="633">
        <f>SUM('3.1. terv alapegys'!C84)</f>
        <v>1600</v>
      </c>
    </row>
    <row r="84" spans="1:4" ht="35.25" customHeight="1">
      <c r="A84" s="628" t="s">
        <v>796</v>
      </c>
      <c r="B84" s="1673" t="s">
        <v>1579</v>
      </c>
      <c r="C84" s="1674"/>
      <c r="D84" s="633">
        <f>SUM('3.1. terv alapegys'!C85)</f>
        <v>2270</v>
      </c>
    </row>
    <row r="85" spans="1:4" ht="28.5" customHeight="1">
      <c r="A85" s="629" t="s">
        <v>797</v>
      </c>
      <c r="B85" s="1715" t="s">
        <v>207</v>
      </c>
      <c r="C85" s="1716"/>
      <c r="D85" s="738">
        <f>SUM('3.1. terv alapegys'!C86)</f>
        <v>250</v>
      </c>
    </row>
    <row r="86" spans="1:4" ht="21.75" customHeight="1">
      <c r="A86" s="1684" t="s">
        <v>798</v>
      </c>
      <c r="B86" s="1685"/>
      <c r="C86" s="1686"/>
      <c r="D86" s="1388">
        <f>SUM(D87:D90)</f>
        <v>69806</v>
      </c>
    </row>
    <row r="87" spans="1:4" ht="62.25" customHeight="1">
      <c r="A87" s="627" t="s">
        <v>799</v>
      </c>
      <c r="B87" s="1713" t="s">
        <v>208</v>
      </c>
      <c r="C87" s="1714"/>
      <c r="D87" s="632">
        <f>SUM('3.1. terv alapegys'!C88)</f>
        <v>53906</v>
      </c>
    </row>
    <row r="88" spans="1:4" ht="31.5" customHeight="1">
      <c r="A88" s="628" t="s">
        <v>1314</v>
      </c>
      <c r="B88" s="1673" t="s">
        <v>209</v>
      </c>
      <c r="C88" s="1674"/>
      <c r="D88" s="633">
        <f>SUM('3.1. terv alapegys'!C89)</f>
        <v>100</v>
      </c>
    </row>
    <row r="89" spans="1:4" ht="42" customHeight="1">
      <c r="A89" s="628" t="s">
        <v>1316</v>
      </c>
      <c r="B89" s="1673" t="s">
        <v>210</v>
      </c>
      <c r="C89" s="1674"/>
      <c r="D89" s="633">
        <f>SUM('3.1. terv alapegys'!C90)</f>
        <v>13000</v>
      </c>
    </row>
    <row r="90" spans="1:4" ht="37.5" customHeight="1">
      <c r="A90" s="629" t="s">
        <v>618</v>
      </c>
      <c r="B90" s="1715" t="s">
        <v>1559</v>
      </c>
      <c r="C90" s="1716"/>
      <c r="D90" s="738">
        <f>SUM('3.1. terv alapegys'!C91)</f>
        <v>2800</v>
      </c>
    </row>
    <row r="91" spans="1:4" ht="23.25" customHeight="1">
      <c r="A91" s="1684" t="s">
        <v>989</v>
      </c>
      <c r="B91" s="1685"/>
      <c r="C91" s="1686"/>
      <c r="D91" s="1388">
        <f>SUM(D92)</f>
        <v>1000</v>
      </c>
    </row>
    <row r="92" spans="1:4" ht="35.25" customHeight="1">
      <c r="A92" s="631" t="s">
        <v>990</v>
      </c>
      <c r="B92" s="1709" t="s">
        <v>211</v>
      </c>
      <c r="C92" s="1710"/>
      <c r="D92" s="1393">
        <f>SUM('3.1. terv alapegys'!C93)</f>
        <v>1000</v>
      </c>
    </row>
    <row r="93" spans="1:4" ht="24" customHeight="1">
      <c r="A93" s="1684" t="s">
        <v>991</v>
      </c>
      <c r="B93" s="1685"/>
      <c r="C93" s="1686"/>
      <c r="D93" s="1391">
        <f>SUM(D94:D99)</f>
        <v>201320</v>
      </c>
    </row>
    <row r="94" spans="1:4" ht="38.25" customHeight="1">
      <c r="A94" s="627" t="s">
        <v>927</v>
      </c>
      <c r="B94" s="1711" t="s">
        <v>1560</v>
      </c>
      <c r="C94" s="1712"/>
      <c r="D94" s="632">
        <f>SUM('3.1. terv alapegys'!C95)</f>
        <v>2138</v>
      </c>
    </row>
    <row r="95" spans="1:4" ht="45" customHeight="1">
      <c r="A95" s="628" t="s">
        <v>992</v>
      </c>
      <c r="B95" s="1705" t="s">
        <v>619</v>
      </c>
      <c r="C95" s="1706"/>
      <c r="D95" s="633">
        <f>SUM('3.1. terv alapegys'!C96)</f>
        <v>68591</v>
      </c>
    </row>
    <row r="96" spans="1:4" ht="33.75" customHeight="1">
      <c r="A96" s="628" t="s">
        <v>908</v>
      </c>
      <c r="B96" s="1705" t="s">
        <v>620</v>
      </c>
      <c r="C96" s="1706"/>
      <c r="D96" s="633">
        <f>SUM('3.1. terv alapegys'!C97)</f>
        <v>1000</v>
      </c>
    </row>
    <row r="97" spans="1:4" ht="46.5" customHeight="1">
      <c r="A97" s="628" t="s">
        <v>621</v>
      </c>
      <c r="B97" s="1705" t="s">
        <v>800</v>
      </c>
      <c r="C97" s="1706"/>
      <c r="D97" s="633">
        <f>SUM('3.1. terv alapegys'!C98)</f>
        <v>50000</v>
      </c>
    </row>
    <row r="98" spans="1:4" ht="45" customHeight="1">
      <c r="A98" s="737" t="s">
        <v>801</v>
      </c>
      <c r="B98" s="1707" t="s">
        <v>212</v>
      </c>
      <c r="C98" s="1708"/>
      <c r="D98" s="738">
        <f>SUM('3.1. terv alapegys'!C99)</f>
        <v>64591</v>
      </c>
    </row>
    <row r="99" spans="1:4" ht="55.5" customHeight="1">
      <c r="A99" s="630" t="s">
        <v>1561</v>
      </c>
      <c r="B99" s="1783" t="s">
        <v>1104</v>
      </c>
      <c r="C99" s="1783"/>
      <c r="D99" s="739">
        <f>SUM('3.1. terv alapegys'!C100)</f>
        <v>15000</v>
      </c>
    </row>
    <row r="100" spans="1:4" ht="46.5" customHeight="1">
      <c r="A100" s="1696" t="s">
        <v>993</v>
      </c>
      <c r="B100" s="1697"/>
      <c r="C100" s="1698"/>
      <c r="D100" s="1394">
        <f>SUM(D101:D106)</f>
        <v>57170</v>
      </c>
    </row>
    <row r="101" spans="1:4" ht="30">
      <c r="A101" s="627" t="s">
        <v>1317</v>
      </c>
      <c r="B101" s="1699" t="s">
        <v>1564</v>
      </c>
      <c r="C101" s="1700"/>
      <c r="D101" s="632">
        <f>SUM('3.1. terv alapegys'!C102)</f>
        <v>29000</v>
      </c>
    </row>
    <row r="102" spans="1:4" ht="18.75" customHeight="1">
      <c r="A102" s="628" t="s">
        <v>909</v>
      </c>
      <c r="B102" s="1671" t="s">
        <v>1562</v>
      </c>
      <c r="C102" s="1672"/>
      <c r="D102" s="633">
        <f>SUM('3.1. terv alapegys'!C103)</f>
        <v>1750</v>
      </c>
    </row>
    <row r="103" spans="1:4" ht="45" customHeight="1">
      <c r="A103" s="628" t="s">
        <v>994</v>
      </c>
      <c r="B103" s="1701" t="s">
        <v>1548</v>
      </c>
      <c r="C103" s="1702"/>
      <c r="D103" s="633">
        <f>SUM('3.1. terv alapegys'!C104)</f>
        <v>5000</v>
      </c>
    </row>
    <row r="104" spans="1:4" ht="15">
      <c r="A104" s="628" t="s">
        <v>995</v>
      </c>
      <c r="B104" s="1671" t="s">
        <v>1563</v>
      </c>
      <c r="C104" s="1672"/>
      <c r="D104" s="633">
        <f>SUM('3.1. terv alapegys'!C105)</f>
        <v>4920</v>
      </c>
    </row>
    <row r="105" spans="1:4" ht="42" customHeight="1">
      <c r="A105" s="628" t="s">
        <v>996</v>
      </c>
      <c r="B105" s="1671" t="s">
        <v>1565</v>
      </c>
      <c r="C105" s="1672"/>
      <c r="D105" s="633">
        <f>SUM('3.1. terv alapegys'!C106)</f>
        <v>14000</v>
      </c>
    </row>
    <row r="106" spans="1:4" ht="49.5" customHeight="1">
      <c r="A106" s="629" t="s">
        <v>997</v>
      </c>
      <c r="B106" s="1689" t="s">
        <v>1549</v>
      </c>
      <c r="C106" s="1690"/>
      <c r="D106" s="739">
        <f>SUM('3.1. terv alapegys'!C107)</f>
        <v>2500</v>
      </c>
    </row>
    <row r="107" spans="1:4" ht="38.25" customHeight="1">
      <c r="A107" s="1649" t="s">
        <v>21</v>
      </c>
      <c r="B107" s="1650"/>
      <c r="C107" s="1651"/>
      <c r="D107" s="634">
        <f>SUM(D108,D126,D143,D155,D169)</f>
        <v>1117900</v>
      </c>
    </row>
    <row r="108" spans="1:4" ht="23.25" customHeight="1">
      <c r="A108" s="1684" t="s">
        <v>998</v>
      </c>
      <c r="B108" s="1685"/>
      <c r="C108" s="1686"/>
      <c r="D108" s="1390">
        <f>SUM(D109:D125)</f>
        <v>44800</v>
      </c>
    </row>
    <row r="109" spans="1:4" ht="15">
      <c r="A109" s="1725" t="s">
        <v>927</v>
      </c>
      <c r="B109" s="635" t="s">
        <v>1566</v>
      </c>
      <c r="C109" s="636">
        <v>500</v>
      </c>
      <c r="D109" s="1643">
        <f>SUM(C109:C111)</f>
        <v>6800</v>
      </c>
    </row>
    <row r="110" spans="1:4" ht="15.75" customHeight="1">
      <c r="A110" s="1692"/>
      <c r="B110" s="635" t="s">
        <v>1567</v>
      </c>
      <c r="C110" s="636">
        <v>300</v>
      </c>
      <c r="D110" s="1642"/>
    </row>
    <row r="111" spans="1:4" ht="15.75" customHeight="1">
      <c r="A111" s="1693"/>
      <c r="B111" s="635" t="s">
        <v>1550</v>
      </c>
      <c r="C111" s="636">
        <v>6000</v>
      </c>
      <c r="D111" s="1642"/>
    </row>
    <row r="112" spans="1:4" ht="18.75" customHeight="1">
      <c r="A112" s="1691" t="s">
        <v>999</v>
      </c>
      <c r="B112" s="637" t="s">
        <v>1551</v>
      </c>
      <c r="C112" s="638">
        <v>4000</v>
      </c>
      <c r="D112" s="1645">
        <f>SUM(C112:C119)</f>
        <v>27500</v>
      </c>
    </row>
    <row r="113" spans="1:4" ht="45">
      <c r="A113" s="1692"/>
      <c r="B113" s="639" t="s">
        <v>1570</v>
      </c>
      <c r="C113" s="640">
        <v>3000</v>
      </c>
      <c r="D113" s="1642"/>
    </row>
    <row r="114" spans="1:4" ht="15">
      <c r="A114" s="1692"/>
      <c r="B114" s="637" t="s">
        <v>1568</v>
      </c>
      <c r="C114" s="638">
        <v>1500</v>
      </c>
      <c r="D114" s="1642"/>
    </row>
    <row r="115" spans="1:4" ht="15.75" customHeight="1">
      <c r="A115" s="1692"/>
      <c r="B115" s="642" t="s">
        <v>1569</v>
      </c>
      <c r="C115" s="643">
        <v>1500</v>
      </c>
      <c r="D115" s="1642"/>
    </row>
    <row r="116" spans="1:4" ht="31.5" customHeight="1">
      <c r="A116" s="1692"/>
      <c r="B116" s="637" t="s">
        <v>1552</v>
      </c>
      <c r="C116" s="638">
        <v>1500</v>
      </c>
      <c r="D116" s="1642"/>
    </row>
    <row r="117" spans="1:4" ht="15.75" customHeight="1">
      <c r="A117" s="1692"/>
      <c r="B117" s="637" t="s">
        <v>1572</v>
      </c>
      <c r="C117" s="638">
        <v>3000</v>
      </c>
      <c r="D117" s="1642"/>
    </row>
    <row r="118" spans="1:4" ht="15.75" customHeight="1">
      <c r="A118" s="1692"/>
      <c r="B118" s="637" t="s">
        <v>1573</v>
      </c>
      <c r="C118" s="638">
        <v>3000</v>
      </c>
      <c r="D118" s="1642"/>
    </row>
    <row r="119" spans="1:4" ht="15">
      <c r="A119" s="1693"/>
      <c r="B119" s="637" t="s">
        <v>1574</v>
      </c>
      <c r="C119" s="638">
        <v>10000</v>
      </c>
      <c r="D119" s="1642"/>
    </row>
    <row r="120" spans="1:4" ht="22.5" customHeight="1">
      <c r="A120" s="673" t="s">
        <v>1000</v>
      </c>
      <c r="B120" s="1660" t="s">
        <v>1571</v>
      </c>
      <c r="C120" s="1661"/>
      <c r="D120" s="692">
        <f>SUM('3.1. terv alapegys'!C112)</f>
        <v>3500</v>
      </c>
    </row>
    <row r="121" spans="1:4" ht="26.25" customHeight="1">
      <c r="A121" s="1691" t="s">
        <v>1001</v>
      </c>
      <c r="B121" s="637" t="s">
        <v>1575</v>
      </c>
      <c r="C121" s="638">
        <v>1000</v>
      </c>
      <c r="D121" s="1645">
        <f>SUM(C121:C124)</f>
        <v>5500</v>
      </c>
    </row>
    <row r="122" spans="1:4" ht="30">
      <c r="A122" s="1692"/>
      <c r="B122" s="637" t="s">
        <v>1576</v>
      </c>
      <c r="C122" s="638">
        <v>1500</v>
      </c>
      <c r="D122" s="1642"/>
    </row>
    <row r="123" spans="1:4" ht="15.75" customHeight="1">
      <c r="A123" s="1692"/>
      <c r="B123" s="642" t="s">
        <v>1577</v>
      </c>
      <c r="C123" s="643">
        <v>1500</v>
      </c>
      <c r="D123" s="1642"/>
    </row>
    <row r="124" spans="1:4" ht="15.75" customHeight="1">
      <c r="A124" s="1692"/>
      <c r="B124" s="637" t="s">
        <v>1578</v>
      </c>
      <c r="C124" s="638">
        <v>1500</v>
      </c>
      <c r="D124" s="1642"/>
    </row>
    <row r="125" spans="1:4" ht="15.75" customHeight="1">
      <c r="A125" s="673" t="s">
        <v>1553</v>
      </c>
      <c r="B125" s="1660" t="s">
        <v>480</v>
      </c>
      <c r="C125" s="1661"/>
      <c r="D125" s="692">
        <v>1500</v>
      </c>
    </row>
    <row r="126" spans="1:4" ht="24.75" customHeight="1">
      <c r="A126" s="1684" t="s">
        <v>1002</v>
      </c>
      <c r="B126" s="1685"/>
      <c r="C126" s="1686"/>
      <c r="D126" s="1390">
        <f>SUM(D127:D142)</f>
        <v>355300</v>
      </c>
    </row>
    <row r="127" spans="1:4" ht="15.75" customHeight="1">
      <c r="A127" s="1687" t="s">
        <v>927</v>
      </c>
      <c r="B127" s="644" t="s">
        <v>1554</v>
      </c>
      <c r="C127" s="674">
        <v>15000</v>
      </c>
      <c r="D127" s="1643">
        <f>SUM(C127:C131)</f>
        <v>223000</v>
      </c>
    </row>
    <row r="128" spans="1:4" ht="15.75" customHeight="1">
      <c r="A128" s="1688"/>
      <c r="B128" s="645" t="s">
        <v>1555</v>
      </c>
      <c r="C128" s="675">
        <v>15000</v>
      </c>
      <c r="D128" s="1642"/>
    </row>
    <row r="129" spans="1:4" ht="15.75" customHeight="1">
      <c r="A129" s="1688"/>
      <c r="B129" s="646" t="s">
        <v>1556</v>
      </c>
      <c r="C129" s="675">
        <v>2000</v>
      </c>
      <c r="D129" s="1642"/>
    </row>
    <row r="130" spans="1:4" ht="15.75" customHeight="1">
      <c r="A130" s="1688"/>
      <c r="B130" s="646" t="s">
        <v>1557</v>
      </c>
      <c r="C130" s="675">
        <v>4000</v>
      </c>
      <c r="D130" s="1642"/>
    </row>
    <row r="131" spans="1:4" ht="15.75" customHeight="1">
      <c r="A131" s="1688"/>
      <c r="B131" s="646" t="s">
        <v>865</v>
      </c>
      <c r="C131" s="675">
        <f>166000+21000</f>
        <v>187000</v>
      </c>
      <c r="D131" s="1642"/>
    </row>
    <row r="132" spans="1:4" ht="45" customHeight="1">
      <c r="A132" s="1691" t="s">
        <v>1003</v>
      </c>
      <c r="B132" s="637" t="s">
        <v>1105</v>
      </c>
      <c r="C132" s="675">
        <v>3800</v>
      </c>
      <c r="D132" s="1645">
        <f>SUM(C132:C134)</f>
        <v>12800</v>
      </c>
    </row>
    <row r="133" spans="1:4" ht="20.25" customHeight="1">
      <c r="A133" s="1692"/>
      <c r="B133" s="637" t="s">
        <v>1580</v>
      </c>
      <c r="C133" s="675">
        <v>4000</v>
      </c>
      <c r="D133" s="1642"/>
    </row>
    <row r="134" spans="1:4" ht="21" customHeight="1">
      <c r="A134" s="1693"/>
      <c r="B134" s="637" t="s">
        <v>1582</v>
      </c>
      <c r="C134" s="675">
        <v>5000</v>
      </c>
      <c r="D134" s="1642"/>
    </row>
    <row r="135" spans="1:4" ht="42" customHeight="1">
      <c r="A135" s="1691" t="s">
        <v>1004</v>
      </c>
      <c r="B135" s="647" t="s">
        <v>433</v>
      </c>
      <c r="C135" s="675">
        <v>3500</v>
      </c>
      <c r="D135" s="1645">
        <f>SUM(C135:C136)</f>
        <v>6500</v>
      </c>
    </row>
    <row r="136" spans="1:4" ht="21.75" customHeight="1">
      <c r="A136" s="1693"/>
      <c r="B136" s="647" t="s">
        <v>1581</v>
      </c>
      <c r="C136" s="675">
        <v>3000</v>
      </c>
      <c r="D136" s="1642"/>
    </row>
    <row r="137" spans="1:4" ht="15.75" customHeight="1">
      <c r="A137" s="1691" t="s">
        <v>1006</v>
      </c>
      <c r="B137" s="637" t="s">
        <v>434</v>
      </c>
      <c r="C137" s="676">
        <v>61000</v>
      </c>
      <c r="D137" s="1645">
        <f>SUM(C137:C140)</f>
        <v>104000</v>
      </c>
    </row>
    <row r="138" spans="1:4" ht="15.75" customHeight="1">
      <c r="A138" s="1692"/>
      <c r="B138" s="677" t="s">
        <v>435</v>
      </c>
      <c r="C138" s="678">
        <v>25000</v>
      </c>
      <c r="D138" s="1642"/>
    </row>
    <row r="139" spans="1:4" ht="15.75" customHeight="1">
      <c r="A139" s="1692"/>
      <c r="B139" s="679" t="s">
        <v>436</v>
      </c>
      <c r="C139" s="680">
        <v>12000</v>
      </c>
      <c r="D139" s="1642"/>
    </row>
    <row r="140" spans="1:4" ht="15.75" customHeight="1">
      <c r="A140" s="1693"/>
      <c r="B140" s="679" t="s">
        <v>437</v>
      </c>
      <c r="C140" s="680">
        <f>5000+1000</f>
        <v>6000</v>
      </c>
      <c r="D140" s="1644"/>
    </row>
    <row r="141" spans="1:4" ht="15.75" customHeight="1">
      <c r="A141" s="1330" t="s">
        <v>675</v>
      </c>
      <c r="B141" s="1703" t="s">
        <v>480</v>
      </c>
      <c r="C141" s="1704"/>
      <c r="D141" s="1331">
        <f>SUM('3.1. terv alapegys'!C120)</f>
        <v>2000</v>
      </c>
    </row>
    <row r="142" spans="1:4" ht="33.75" customHeight="1">
      <c r="A142" s="648" t="s">
        <v>1007</v>
      </c>
      <c r="B142" s="1694" t="s">
        <v>1583</v>
      </c>
      <c r="C142" s="1695"/>
      <c r="D142" s="692">
        <f>SUM('3.1. terv alapegys'!C121)</f>
        <v>7000</v>
      </c>
    </row>
    <row r="143" spans="1:4" ht="22.5" customHeight="1">
      <c r="A143" s="1684" t="s">
        <v>1008</v>
      </c>
      <c r="B143" s="1685"/>
      <c r="C143" s="1686"/>
      <c r="D143" s="1390">
        <f>SUM(D144:D154)</f>
        <v>29600</v>
      </c>
    </row>
    <row r="144" spans="1:4" ht="15.75" customHeight="1">
      <c r="A144" s="1750" t="s">
        <v>927</v>
      </c>
      <c r="B144" s="650" t="s">
        <v>483</v>
      </c>
      <c r="C144" s="681">
        <v>500</v>
      </c>
      <c r="D144" s="1782">
        <f>SUM(C144:C145)</f>
        <v>1500</v>
      </c>
    </row>
    <row r="145" spans="1:4" ht="15.75" customHeight="1">
      <c r="A145" s="1751"/>
      <c r="B145" s="682" t="s">
        <v>438</v>
      </c>
      <c r="C145" s="676">
        <v>1000</v>
      </c>
      <c r="D145" s="1781"/>
    </row>
    <row r="146" spans="1:4" ht="30">
      <c r="A146" s="670" t="s">
        <v>1009</v>
      </c>
      <c r="B146" s="642" t="s">
        <v>484</v>
      </c>
      <c r="C146" s="643">
        <v>1200</v>
      </c>
      <c r="D146" s="693">
        <f>SUM(C146:C146)</f>
        <v>1200</v>
      </c>
    </row>
    <row r="147" spans="1:4" ht="30">
      <c r="A147" s="1751" t="s">
        <v>1010</v>
      </c>
      <c r="B147" s="647" t="s">
        <v>1106</v>
      </c>
      <c r="C147" s="676">
        <v>5000</v>
      </c>
      <c r="D147" s="1781">
        <f>SUM(C147:C149)</f>
        <v>6500</v>
      </c>
    </row>
    <row r="148" spans="1:4" ht="30">
      <c r="A148" s="1751"/>
      <c r="B148" s="1346" t="s">
        <v>404</v>
      </c>
      <c r="C148" s="683">
        <v>400</v>
      </c>
      <c r="D148" s="1781"/>
    </row>
    <row r="149" spans="1:4" ht="34.5" customHeight="1">
      <c r="A149" s="1751"/>
      <c r="B149" s="647" t="s">
        <v>439</v>
      </c>
      <c r="C149" s="676">
        <v>1100</v>
      </c>
      <c r="D149" s="1781"/>
    </row>
    <row r="150" spans="1:4" ht="56.25" customHeight="1">
      <c r="A150" s="670" t="s">
        <v>1011</v>
      </c>
      <c r="B150" s="1752" t="s">
        <v>1107</v>
      </c>
      <c r="C150" s="1752"/>
      <c r="D150" s="694">
        <f>SUM('3.1. terv alapegys'!C126)</f>
        <v>2700</v>
      </c>
    </row>
    <row r="151" spans="1:4" ht="91.5" customHeight="1">
      <c r="A151" s="691" t="s">
        <v>440</v>
      </c>
      <c r="B151" s="1753" t="s">
        <v>1108</v>
      </c>
      <c r="C151" s="1754"/>
      <c r="D151" s="1349">
        <f>SUM('3.1. terv alapegys'!C127)</f>
        <v>7200</v>
      </c>
    </row>
    <row r="152" spans="1:4" ht="36" customHeight="1">
      <c r="A152" s="1347" t="s">
        <v>736</v>
      </c>
      <c r="B152" s="1755" t="s">
        <v>402</v>
      </c>
      <c r="C152" s="1756"/>
      <c r="D152" s="1348">
        <f>SUM('3.1. terv alapegys'!C128)</f>
        <v>2000</v>
      </c>
    </row>
    <row r="153" spans="1:4" ht="33" customHeight="1">
      <c r="A153" s="684" t="s">
        <v>622</v>
      </c>
      <c r="B153" s="1752" t="s">
        <v>403</v>
      </c>
      <c r="C153" s="1752"/>
      <c r="D153" s="694">
        <f>SUM('3.1. terv alapegys'!C129)</f>
        <v>7000</v>
      </c>
    </row>
    <row r="154" spans="1:4" ht="60.75" customHeight="1">
      <c r="A154" s="671" t="s">
        <v>1012</v>
      </c>
      <c r="B154" s="1757" t="s">
        <v>577</v>
      </c>
      <c r="C154" s="1757"/>
      <c r="D154" s="695">
        <f>SUM('3.1. terv alapegys'!C130)</f>
        <v>1500</v>
      </c>
    </row>
    <row r="155" spans="1:4" ht="24.75" customHeight="1">
      <c r="A155" s="1684" t="s">
        <v>1013</v>
      </c>
      <c r="B155" s="1758"/>
      <c r="C155" s="1759"/>
      <c r="D155" s="1390">
        <f>SUM(D156:D168)</f>
        <v>344200</v>
      </c>
    </row>
    <row r="156" spans="1:4" ht="48.75" customHeight="1">
      <c r="A156" s="673" t="s">
        <v>600</v>
      </c>
      <c r="B156" s="1701" t="s">
        <v>481</v>
      </c>
      <c r="C156" s="1702"/>
      <c r="D156" s="692">
        <f>SUM('3.1. terv alapegys'!C132)</f>
        <v>311200</v>
      </c>
    </row>
    <row r="157" spans="1:4" ht="45.75" customHeight="1">
      <c r="A157" s="673" t="s">
        <v>1014</v>
      </c>
      <c r="B157" s="1760" t="s">
        <v>1109</v>
      </c>
      <c r="C157" s="1761"/>
      <c r="D157" s="696">
        <f>SUM('3.1. terv alapegys'!C133)</f>
        <v>3500</v>
      </c>
    </row>
    <row r="158" spans="1:4" ht="72" customHeight="1">
      <c r="A158" s="673" t="s">
        <v>1015</v>
      </c>
      <c r="B158" s="1762" t="s">
        <v>1110</v>
      </c>
      <c r="C158" s="1763"/>
      <c r="D158" s="696">
        <f>SUM('3.1. terv alapegys'!C134)</f>
        <v>4000</v>
      </c>
    </row>
    <row r="159" spans="1:4" ht="65.25" customHeight="1">
      <c r="A159" s="673" t="s">
        <v>1016</v>
      </c>
      <c r="B159" s="1764" t="s">
        <v>441</v>
      </c>
      <c r="C159" s="1765"/>
      <c r="D159" s="696">
        <f>SUM('3.1. terv alapegys'!C135)</f>
        <v>3000</v>
      </c>
    </row>
    <row r="160" spans="1:4" ht="27" customHeight="1">
      <c r="A160" s="685" t="s">
        <v>1019</v>
      </c>
      <c r="B160" s="1764" t="s">
        <v>1587</v>
      </c>
      <c r="C160" s="1765"/>
      <c r="D160" s="696">
        <f>SUM('3.1. terv alapegys'!C136)</f>
        <v>2000</v>
      </c>
    </row>
    <row r="161" spans="1:4" ht="77.25" customHeight="1">
      <c r="A161" s="1766" t="s">
        <v>1005</v>
      </c>
      <c r="B161" s="686" t="s">
        <v>1111</v>
      </c>
      <c r="C161" s="1097">
        <v>4000</v>
      </c>
      <c r="D161" s="1640">
        <f>C161+C162</f>
        <v>7000</v>
      </c>
    </row>
    <row r="162" spans="1:4" ht="24" customHeight="1">
      <c r="A162" s="1767"/>
      <c r="B162" s="649" t="s">
        <v>442</v>
      </c>
      <c r="C162" s="676">
        <v>3000</v>
      </c>
      <c r="D162" s="1641"/>
    </row>
    <row r="163" spans="1:4" ht="49.5" customHeight="1">
      <c r="A163" s="1351" t="s">
        <v>630</v>
      </c>
      <c r="B163" s="1768" t="s">
        <v>443</v>
      </c>
      <c r="C163" s="1769"/>
      <c r="D163" s="1352">
        <f>SUM('3.1. terv alapegys'!C138)</f>
        <v>1400</v>
      </c>
    </row>
    <row r="164" spans="1:4" ht="24.75" customHeight="1">
      <c r="A164" s="1767" t="s">
        <v>921</v>
      </c>
      <c r="B164" s="1350" t="s">
        <v>519</v>
      </c>
      <c r="C164" s="1332">
        <v>3000</v>
      </c>
      <c r="D164" s="1642">
        <f>SUM(C164:C168)</f>
        <v>12100</v>
      </c>
    </row>
    <row r="165" spans="1:4" ht="19.5" customHeight="1">
      <c r="A165" s="1767"/>
      <c r="B165" s="989" t="s">
        <v>1588</v>
      </c>
      <c r="C165" s="676">
        <v>600</v>
      </c>
      <c r="D165" s="1642"/>
    </row>
    <row r="166" spans="1:4" ht="43.5" customHeight="1">
      <c r="A166" s="1767"/>
      <c r="B166" s="989" t="s">
        <v>1112</v>
      </c>
      <c r="C166" s="676">
        <v>4300</v>
      </c>
      <c r="D166" s="1642"/>
    </row>
    <row r="167" spans="1:4" ht="98.25" customHeight="1">
      <c r="A167" s="1767"/>
      <c r="B167" s="989" t="s">
        <v>1592</v>
      </c>
      <c r="C167" s="676">
        <f>3200</f>
        <v>3200</v>
      </c>
      <c r="D167" s="1642"/>
    </row>
    <row r="168" spans="1:4" ht="29.25" customHeight="1">
      <c r="A168" s="1767"/>
      <c r="B168" s="687" t="s">
        <v>1593</v>
      </c>
      <c r="C168" s="688">
        <v>1000</v>
      </c>
      <c r="D168" s="1642"/>
    </row>
    <row r="169" spans="1:4" ht="28.5" customHeight="1">
      <c r="A169" s="1684" t="s">
        <v>926</v>
      </c>
      <c r="B169" s="1758"/>
      <c r="C169" s="1759"/>
      <c r="D169" s="1390">
        <f>SUM(D170:D180)</f>
        <v>344000</v>
      </c>
    </row>
    <row r="170" spans="1:4" ht="15.75" customHeight="1">
      <c r="A170" s="1750" t="s">
        <v>927</v>
      </c>
      <c r="B170" s="650" t="s">
        <v>737</v>
      </c>
      <c r="C170" s="689">
        <v>2500</v>
      </c>
      <c r="D170" s="1643">
        <f>SUM(C170:C174)</f>
        <v>217500</v>
      </c>
    </row>
    <row r="171" spans="1:4" ht="15.75" customHeight="1">
      <c r="A171" s="1751"/>
      <c r="B171" s="635" t="s">
        <v>802</v>
      </c>
      <c r="C171" s="676">
        <v>2000</v>
      </c>
      <c r="D171" s="1642"/>
    </row>
    <row r="172" spans="1:4" ht="15.75" customHeight="1">
      <c r="A172" s="1751"/>
      <c r="B172" s="635" t="s">
        <v>803</v>
      </c>
      <c r="C172" s="676">
        <v>8000</v>
      </c>
      <c r="D172" s="1642"/>
    </row>
    <row r="173" spans="1:4" ht="27.75" customHeight="1">
      <c r="A173" s="1751"/>
      <c r="B173" s="635" t="s">
        <v>1113</v>
      </c>
      <c r="C173" s="676">
        <v>202000</v>
      </c>
      <c r="D173" s="1642"/>
    </row>
    <row r="174" spans="1:4" ht="15.75" customHeight="1">
      <c r="A174" s="1751"/>
      <c r="B174" s="635" t="s">
        <v>1585</v>
      </c>
      <c r="C174" s="636">
        <v>3000</v>
      </c>
      <c r="D174" s="1644"/>
    </row>
    <row r="175" spans="1:4" ht="48" customHeight="1">
      <c r="A175" s="1691" t="s">
        <v>1018</v>
      </c>
      <c r="B175" s="651" t="s">
        <v>1586</v>
      </c>
      <c r="C175" s="652">
        <v>9000</v>
      </c>
      <c r="D175" s="1645">
        <f>SUM(C175:C178)</f>
        <v>42000</v>
      </c>
    </row>
    <row r="176" spans="1:4" ht="18.75" customHeight="1">
      <c r="A176" s="1692"/>
      <c r="B176" s="651" t="s">
        <v>1594</v>
      </c>
      <c r="C176" s="652">
        <v>9000</v>
      </c>
      <c r="D176" s="1642"/>
    </row>
    <row r="177" spans="1:4" ht="43.5" customHeight="1">
      <c r="A177" s="1692"/>
      <c r="B177" s="653" t="s">
        <v>1589</v>
      </c>
      <c r="C177" s="654">
        <v>4000</v>
      </c>
      <c r="D177" s="1642"/>
    </row>
    <row r="178" spans="1:4" ht="22.5" customHeight="1">
      <c r="A178" s="1693"/>
      <c r="B178" s="653" t="s">
        <v>1114</v>
      </c>
      <c r="C178" s="654">
        <v>20000</v>
      </c>
      <c r="D178" s="1642"/>
    </row>
    <row r="179" spans="1:4" ht="15.75" customHeight="1">
      <c r="A179" s="670" t="s">
        <v>1249</v>
      </c>
      <c r="B179" s="1660" t="s">
        <v>480</v>
      </c>
      <c r="C179" s="1661"/>
      <c r="D179" s="697">
        <f>SUM('3.1. terv alapegys'!C146)</f>
        <v>2500</v>
      </c>
    </row>
    <row r="180" spans="1:4" ht="15.75" customHeight="1">
      <c r="A180" s="671" t="s">
        <v>455</v>
      </c>
      <c r="B180" s="1689" t="s">
        <v>1590</v>
      </c>
      <c r="C180" s="1690"/>
      <c r="D180" s="695">
        <f>SUM('3.1. terv alapegys'!C147)</f>
        <v>82000</v>
      </c>
    </row>
    <row r="181" spans="1:4" ht="45.75" customHeight="1">
      <c r="A181" s="1747" t="s">
        <v>1020</v>
      </c>
      <c r="B181" s="1770"/>
      <c r="C181" s="1771"/>
      <c r="D181" s="1395">
        <f>SUM(D182:D201)</f>
        <v>302117</v>
      </c>
    </row>
    <row r="182" spans="1:4" ht="70.5" customHeight="1">
      <c r="A182" s="690" t="s">
        <v>910</v>
      </c>
      <c r="B182" s="1772" t="s">
        <v>413</v>
      </c>
      <c r="C182" s="1773"/>
      <c r="D182" s="698">
        <f>SUM('3.1. terv alapegys'!C149)</f>
        <v>31000</v>
      </c>
    </row>
    <row r="183" spans="1:4" ht="58.5" customHeight="1">
      <c r="A183" s="685" t="s">
        <v>911</v>
      </c>
      <c r="B183" s="1717" t="s">
        <v>601</v>
      </c>
      <c r="C183" s="1774"/>
      <c r="D183" s="699">
        <f>SUM('3.1. terv alapegys'!C150)</f>
        <v>25500</v>
      </c>
    </row>
    <row r="184" spans="1:4" ht="47.25" customHeight="1">
      <c r="A184" s="685" t="s">
        <v>912</v>
      </c>
      <c r="B184" s="1717" t="s">
        <v>16</v>
      </c>
      <c r="C184" s="1774"/>
      <c r="D184" s="699">
        <f>SUM('3.1. terv alapegys'!C151)</f>
        <v>70000</v>
      </c>
    </row>
    <row r="185" spans="1:4" ht="63" customHeight="1">
      <c r="A185" s="685" t="s">
        <v>913</v>
      </c>
      <c r="B185" s="1717" t="s">
        <v>414</v>
      </c>
      <c r="C185" s="1774"/>
      <c r="D185" s="699">
        <f>SUM('3.1. terv alapegys'!C152)</f>
        <v>12000</v>
      </c>
    </row>
    <row r="186" spans="1:4" ht="46.5" customHeight="1">
      <c r="A186" s="673" t="s">
        <v>914</v>
      </c>
      <c r="B186" s="1717" t="s">
        <v>17</v>
      </c>
      <c r="C186" s="1774"/>
      <c r="D186" s="1353">
        <f>SUM('3.1. terv alapegys'!C153)</f>
        <v>4000</v>
      </c>
    </row>
    <row r="187" spans="1:4" ht="96.75" customHeight="1">
      <c r="A187" s="1293" t="s">
        <v>915</v>
      </c>
      <c r="B187" s="1772" t="s">
        <v>226</v>
      </c>
      <c r="C187" s="1773"/>
      <c r="D187" s="1333">
        <f>SUM('3.1. terv alapegys'!C154)</f>
        <v>23000</v>
      </c>
    </row>
    <row r="188" spans="1:4" ht="53.25" customHeight="1">
      <c r="A188" s="685" t="s">
        <v>916</v>
      </c>
      <c r="B188" s="1717" t="s">
        <v>18</v>
      </c>
      <c r="C188" s="1774"/>
      <c r="D188" s="699">
        <f>SUM('3.1. terv alapegys'!C155)</f>
        <v>21000</v>
      </c>
    </row>
    <row r="189" spans="1:4" ht="45.75" customHeight="1">
      <c r="A189" s="685" t="s">
        <v>917</v>
      </c>
      <c r="B189" s="1717" t="s">
        <v>19</v>
      </c>
      <c r="C189" s="1774"/>
      <c r="D189" s="699">
        <f>SUM('3.1. terv alapegys'!C156)</f>
        <v>600</v>
      </c>
    </row>
    <row r="190" spans="1:4" ht="68.25" customHeight="1">
      <c r="A190" s="685" t="s">
        <v>918</v>
      </c>
      <c r="B190" s="1717" t="s">
        <v>602</v>
      </c>
      <c r="C190" s="1774"/>
      <c r="D190" s="699">
        <f>SUM('3.1. terv alapegys'!C157)</f>
        <v>13000</v>
      </c>
    </row>
    <row r="191" spans="1:4" ht="62.25" customHeight="1">
      <c r="A191" s="685" t="s">
        <v>919</v>
      </c>
      <c r="B191" s="1717" t="s">
        <v>227</v>
      </c>
      <c r="C191" s="1774"/>
      <c r="D191" s="699">
        <f>SUM('3.1. terv alapegys'!C158)</f>
        <v>2000</v>
      </c>
    </row>
    <row r="192" spans="1:4" ht="28.5" customHeight="1">
      <c r="A192" s="673" t="s">
        <v>920</v>
      </c>
      <c r="B192" s="1717" t="s">
        <v>1115</v>
      </c>
      <c r="C192" s="1774"/>
      <c r="D192" s="699">
        <f>SUM('3.1. terv alapegys'!C159)</f>
        <v>4917</v>
      </c>
    </row>
    <row r="193" spans="1:4" ht="51.75" customHeight="1">
      <c r="A193" s="685" t="s">
        <v>922</v>
      </c>
      <c r="B193" s="1776" t="s">
        <v>415</v>
      </c>
      <c r="C193" s="1777"/>
      <c r="D193" s="699">
        <f>SUM('3.1. terv alapegys'!C160)</f>
        <v>2000</v>
      </c>
    </row>
    <row r="194" spans="1:4" ht="75" customHeight="1">
      <c r="A194" s="673" t="s">
        <v>1021</v>
      </c>
      <c r="B194" s="1776" t="s">
        <v>228</v>
      </c>
      <c r="C194" s="1777"/>
      <c r="D194" s="699">
        <f>SUM('3.1. terv alapegys'!C161)</f>
        <v>10000</v>
      </c>
    </row>
    <row r="195" spans="1:4" ht="40.5" customHeight="1">
      <c r="A195" s="690" t="s">
        <v>923</v>
      </c>
      <c r="B195" s="1778" t="s">
        <v>482</v>
      </c>
      <c r="C195" s="1779"/>
      <c r="D195" s="699">
        <f>SUM('3.1. terv alapegys'!C162)</f>
        <v>7500</v>
      </c>
    </row>
    <row r="196" spans="1:4" ht="51.75" customHeight="1">
      <c r="A196" s="673" t="s">
        <v>1022</v>
      </c>
      <c r="B196" s="1717" t="s">
        <v>416</v>
      </c>
      <c r="C196" s="1774"/>
      <c r="D196" s="699">
        <f>SUM('3.1. terv alapegys'!C163)</f>
        <v>25000</v>
      </c>
    </row>
    <row r="197" spans="1:4" ht="78.75" customHeight="1">
      <c r="A197" s="670" t="s">
        <v>1319</v>
      </c>
      <c r="B197" s="1780" t="s">
        <v>331</v>
      </c>
      <c r="C197" s="1780"/>
      <c r="D197" s="699">
        <f>SUM('3.1. terv alapegys'!C164)</f>
        <v>16000</v>
      </c>
    </row>
    <row r="198" spans="1:4" ht="60" customHeight="1">
      <c r="A198" s="684" t="s">
        <v>631</v>
      </c>
      <c r="B198" s="1780" t="s">
        <v>20</v>
      </c>
      <c r="C198" s="1780"/>
      <c r="D198" s="699">
        <f>SUM('3.1. terv alapegys'!C165)</f>
        <v>16700</v>
      </c>
    </row>
    <row r="199" spans="1:4" ht="66" customHeight="1">
      <c r="A199" s="691" t="s">
        <v>444</v>
      </c>
      <c r="B199" s="1785" t="s">
        <v>1320</v>
      </c>
      <c r="C199" s="1785"/>
      <c r="D199" s="1334">
        <f>SUM('3.1. terv alapegys'!C166)</f>
        <v>16800</v>
      </c>
    </row>
    <row r="200" spans="1:4" ht="72" customHeight="1">
      <c r="A200" s="1347" t="s">
        <v>445</v>
      </c>
      <c r="B200" s="1786" t="s">
        <v>332</v>
      </c>
      <c r="C200" s="1786"/>
      <c r="D200" s="1333">
        <f>SUM('3.1. terv alapegys'!C167)</f>
        <v>100</v>
      </c>
    </row>
    <row r="201" spans="1:4" ht="18.75" customHeight="1">
      <c r="A201" s="691" t="s">
        <v>927</v>
      </c>
      <c r="B201" s="1775" t="s">
        <v>417</v>
      </c>
      <c r="C201" s="1775"/>
      <c r="D201" s="699">
        <f>SUM('3.1. terv alapegys'!C168)</f>
        <v>1000</v>
      </c>
    </row>
    <row r="202" spans="1:4" ht="35.25" customHeight="1">
      <c r="A202" s="1655" t="s">
        <v>1023</v>
      </c>
      <c r="B202" s="1656"/>
      <c r="C202" s="1657"/>
      <c r="D202" s="1396">
        <f>SUM(D203)</f>
        <v>5000</v>
      </c>
    </row>
    <row r="203" spans="1:4" ht="33" customHeight="1">
      <c r="A203" s="631" t="s">
        <v>925</v>
      </c>
      <c r="B203" s="1662" t="s">
        <v>1591</v>
      </c>
      <c r="C203" s="1663"/>
      <c r="D203" s="1397">
        <f>SUM('3.1. terv alapegys'!C170)</f>
        <v>5000</v>
      </c>
    </row>
    <row r="204" spans="1:4" ht="39.75" customHeight="1">
      <c r="A204" s="1658" t="s">
        <v>1024</v>
      </c>
      <c r="B204" s="1656"/>
      <c r="C204" s="1657"/>
      <c r="D204" s="1398">
        <f>SUM(D205:D222)</f>
        <v>67218</v>
      </c>
    </row>
    <row r="205" spans="1:4" s="700" customFormat="1" ht="19.5" customHeight="1">
      <c r="A205" s="1750" t="s">
        <v>928</v>
      </c>
      <c r="B205" s="657" t="s">
        <v>418</v>
      </c>
      <c r="C205" s="658">
        <v>16108</v>
      </c>
      <c r="D205" s="1643">
        <f>SUM(C205:C207)</f>
        <v>28108</v>
      </c>
    </row>
    <row r="206" spans="1:4" s="700" customFormat="1" ht="21.75" customHeight="1">
      <c r="A206" s="1693"/>
      <c r="B206" s="701" t="s">
        <v>419</v>
      </c>
      <c r="C206" s="702">
        <v>10000</v>
      </c>
      <c r="D206" s="1642"/>
    </row>
    <row r="207" spans="1:4" s="700" customFormat="1" ht="19.5" customHeight="1">
      <c r="A207" s="1693"/>
      <c r="B207" s="701" t="s">
        <v>1321</v>
      </c>
      <c r="C207" s="702">
        <v>2000</v>
      </c>
      <c r="D207" s="1642"/>
    </row>
    <row r="208" spans="1:4" s="700" customFormat="1" ht="19.5" customHeight="1">
      <c r="A208" s="1751" t="s">
        <v>1025</v>
      </c>
      <c r="B208" s="659" t="s">
        <v>1322</v>
      </c>
      <c r="C208" s="660">
        <v>5730</v>
      </c>
      <c r="D208" s="1645">
        <f>SUM(C208:C212)</f>
        <v>19110</v>
      </c>
    </row>
    <row r="209" spans="1:4" s="700" customFormat="1" ht="19.5" customHeight="1">
      <c r="A209" s="1751"/>
      <c r="B209" s="659" t="s">
        <v>1323</v>
      </c>
      <c r="C209" s="660">
        <v>3000</v>
      </c>
      <c r="D209" s="1642"/>
    </row>
    <row r="210" spans="1:4" s="700" customFormat="1" ht="19.5" customHeight="1">
      <c r="A210" s="1751"/>
      <c r="B210" s="659" t="s">
        <v>1324</v>
      </c>
      <c r="C210" s="660">
        <v>6580</v>
      </c>
      <c r="D210" s="1642"/>
    </row>
    <row r="211" spans="1:4" s="700" customFormat="1" ht="19.5" customHeight="1">
      <c r="A211" s="1751"/>
      <c r="B211" s="659" t="s">
        <v>1325</v>
      </c>
      <c r="C211" s="660">
        <v>800</v>
      </c>
      <c r="D211" s="1642"/>
    </row>
    <row r="212" spans="1:4" s="700" customFormat="1" ht="19.5" customHeight="1">
      <c r="A212" s="1751"/>
      <c r="B212" s="659" t="s">
        <v>1165</v>
      </c>
      <c r="C212" s="660">
        <v>3000</v>
      </c>
      <c r="D212" s="1642"/>
    </row>
    <row r="213" spans="1:4" s="700" customFormat="1" ht="21.75" customHeight="1">
      <c r="A213" s="1751" t="s">
        <v>1026</v>
      </c>
      <c r="B213" s="659" t="s">
        <v>505</v>
      </c>
      <c r="C213" s="1292">
        <v>2000</v>
      </c>
      <c r="D213" s="1645">
        <f>SUM('3.1. terv alapegys'!C174)</f>
        <v>16000</v>
      </c>
    </row>
    <row r="214" spans="1:4" s="700" customFormat="1" ht="30" customHeight="1">
      <c r="A214" s="1751"/>
      <c r="B214" s="659" t="s">
        <v>214</v>
      </c>
      <c r="C214" s="1292">
        <v>1000</v>
      </c>
      <c r="D214" s="1642"/>
    </row>
    <row r="215" spans="1:4" s="700" customFormat="1" ht="19.5" customHeight="1">
      <c r="A215" s="1751"/>
      <c r="B215" s="659" t="s">
        <v>506</v>
      </c>
      <c r="C215" s="1292">
        <v>1500</v>
      </c>
      <c r="D215" s="1642"/>
    </row>
    <row r="216" spans="1:4" s="700" customFormat="1" ht="30" customHeight="1">
      <c r="A216" s="1751"/>
      <c r="B216" s="659" t="s">
        <v>420</v>
      </c>
      <c r="C216" s="1292">
        <v>1000</v>
      </c>
      <c r="D216" s="1642"/>
    </row>
    <row r="217" spans="1:4" s="700" customFormat="1" ht="18.75" customHeight="1">
      <c r="A217" s="1751"/>
      <c r="B217" s="659" t="s">
        <v>421</v>
      </c>
      <c r="C217" s="1292">
        <v>3000</v>
      </c>
      <c r="D217" s="1642"/>
    </row>
    <row r="218" spans="1:4" s="700" customFormat="1" ht="21.75" customHeight="1">
      <c r="A218" s="1751"/>
      <c r="B218" s="659" t="s">
        <v>1546</v>
      </c>
      <c r="C218" s="1292">
        <v>1000</v>
      </c>
      <c r="D218" s="1642"/>
    </row>
    <row r="219" spans="1:4" s="700" customFormat="1" ht="30" customHeight="1">
      <c r="A219" s="1751"/>
      <c r="B219" s="659" t="s">
        <v>422</v>
      </c>
      <c r="C219" s="1292">
        <v>4500</v>
      </c>
      <c r="D219" s="1642"/>
    </row>
    <row r="220" spans="1:4" s="700" customFormat="1" ht="31.5" customHeight="1">
      <c r="A220" s="1751"/>
      <c r="B220" s="642" t="s">
        <v>423</v>
      </c>
      <c r="C220" s="1292">
        <v>2000</v>
      </c>
      <c r="D220" s="1642"/>
    </row>
    <row r="221" spans="1:4" s="700" customFormat="1" ht="21.75" customHeight="1">
      <c r="A221" s="670" t="s">
        <v>1027</v>
      </c>
      <c r="B221" s="1660" t="s">
        <v>424</v>
      </c>
      <c r="C221" s="1661"/>
      <c r="D221" s="694">
        <f>SUM('3.1. terv alapegys'!C175)</f>
        <v>2000</v>
      </c>
    </row>
    <row r="222" spans="1:4" s="700" customFormat="1" ht="30">
      <c r="A222" s="671" t="s">
        <v>1028</v>
      </c>
      <c r="B222" s="1660" t="s">
        <v>480</v>
      </c>
      <c r="C222" s="1661"/>
      <c r="D222" s="695">
        <f>SUM('3.1. terv alapegys'!C176)</f>
        <v>2000</v>
      </c>
    </row>
    <row r="223" spans="1:4" ht="42" customHeight="1">
      <c r="A223" s="1649" t="s">
        <v>1272</v>
      </c>
      <c r="B223" s="1650"/>
      <c r="C223" s="1651"/>
      <c r="D223" s="634">
        <f>SUM(D224:D255)</f>
        <v>2569593</v>
      </c>
    </row>
    <row r="224" spans="1:4" ht="57" customHeight="1">
      <c r="A224" s="661" t="s">
        <v>269</v>
      </c>
      <c r="B224" s="1628" t="s">
        <v>1494</v>
      </c>
      <c r="C224" s="1628"/>
      <c r="D224" s="633">
        <f>SUM('3.1. terv alapegys'!C178:C179)</f>
        <v>351469</v>
      </c>
    </row>
    <row r="225" spans="1:4" ht="60.75" customHeight="1">
      <c r="A225" s="661" t="s">
        <v>929</v>
      </c>
      <c r="B225" s="1659" t="s">
        <v>1495</v>
      </c>
      <c r="C225" s="1659"/>
      <c r="D225" s="633">
        <f>SUM('3.1. terv alapegys'!C180:C181)</f>
        <v>156959</v>
      </c>
    </row>
    <row r="226" spans="1:4" ht="60.75" customHeight="1">
      <c r="A226" s="663" t="s">
        <v>130</v>
      </c>
      <c r="B226" s="1627" t="s">
        <v>1396</v>
      </c>
      <c r="C226" s="1627"/>
      <c r="D226" s="633">
        <f>SUM('3.1. terv alapegys'!C182)</f>
        <v>288225</v>
      </c>
    </row>
    <row r="227" spans="1:4" ht="25.5" customHeight="1">
      <c r="A227" s="1100" t="s">
        <v>446</v>
      </c>
      <c r="B227" s="1631" t="s">
        <v>333</v>
      </c>
      <c r="C227" s="1632"/>
      <c r="D227" s="633">
        <f>SUM('3.1. terv alapegys'!C183)</f>
        <v>29800</v>
      </c>
    </row>
    <row r="228" spans="1:4" ht="40.5" customHeight="1">
      <c r="A228" s="662" t="s">
        <v>1172</v>
      </c>
      <c r="B228" s="1628" t="s">
        <v>1129</v>
      </c>
      <c r="C228" s="1628"/>
      <c r="D228" s="633">
        <f>SUM('3.1. terv alapegys'!C184)</f>
        <v>50000</v>
      </c>
    </row>
    <row r="229" spans="1:4" ht="51" customHeight="1">
      <c r="A229" s="1100" t="s">
        <v>30</v>
      </c>
      <c r="B229" s="1633" t="s">
        <v>1397</v>
      </c>
      <c r="C229" s="1634"/>
      <c r="D229" s="633">
        <f>SUM('3.1. terv alapegys'!C185)</f>
        <v>79224</v>
      </c>
    </row>
    <row r="230" spans="1:4" ht="48" customHeight="1">
      <c r="A230" s="1100" t="s">
        <v>447</v>
      </c>
      <c r="B230" s="1633" t="s">
        <v>507</v>
      </c>
      <c r="C230" s="1634"/>
      <c r="D230" s="633">
        <f>SUM('3.1. terv alapegys'!C186)</f>
        <v>25000</v>
      </c>
    </row>
    <row r="231" spans="1:4" ht="32.25" customHeight="1">
      <c r="A231" s="661" t="s">
        <v>448</v>
      </c>
      <c r="B231" s="1639" t="s">
        <v>485</v>
      </c>
      <c r="C231" s="1639"/>
      <c r="D231" s="633">
        <f>SUM('3.1. terv alapegys'!C187)</f>
        <v>5280</v>
      </c>
    </row>
    <row r="232" spans="1:4" ht="49.5" customHeight="1">
      <c r="A232" s="1101" t="s">
        <v>633</v>
      </c>
      <c r="B232" s="1633" t="s">
        <v>1117</v>
      </c>
      <c r="C232" s="1634"/>
      <c r="D232" s="633">
        <f>SUM('3.1. terv alapegys'!C188)</f>
        <v>5000</v>
      </c>
    </row>
    <row r="233" spans="1:4" ht="26.25" customHeight="1">
      <c r="A233" s="1101" t="s">
        <v>634</v>
      </c>
      <c r="B233" s="1635" t="s">
        <v>1400</v>
      </c>
      <c r="C233" s="1636"/>
      <c r="D233" s="633">
        <f>SUM('3.1. terv alapegys'!C189)</f>
        <v>840</v>
      </c>
    </row>
    <row r="234" spans="1:4" ht="53.25" customHeight="1">
      <c r="A234" s="1355" t="s">
        <v>229</v>
      </c>
      <c r="B234" s="1637" t="s">
        <v>1398</v>
      </c>
      <c r="C234" s="1638"/>
      <c r="D234" s="739">
        <f>SUM('3.1. terv alapegys'!C190)</f>
        <v>79</v>
      </c>
    </row>
    <row r="235" spans="1:4" ht="31.5" customHeight="1">
      <c r="A235" s="1354" t="s">
        <v>635</v>
      </c>
      <c r="B235" s="1629" t="s">
        <v>508</v>
      </c>
      <c r="C235" s="1630"/>
      <c r="D235" s="1399">
        <f>SUM('3.1. terv alapegys'!C191)</f>
        <v>90000</v>
      </c>
    </row>
    <row r="236" spans="1:4" ht="61.5" customHeight="1">
      <c r="A236" s="661" t="s">
        <v>1174</v>
      </c>
      <c r="B236" s="1628" t="s">
        <v>1399</v>
      </c>
      <c r="C236" s="1628"/>
      <c r="D236" s="633">
        <f>SUM('3.1. terv alapegys'!C192)</f>
        <v>11947</v>
      </c>
    </row>
    <row r="237" spans="1:4" ht="57" customHeight="1">
      <c r="A237" s="661" t="s">
        <v>1173</v>
      </c>
      <c r="B237" s="1628" t="s">
        <v>1496</v>
      </c>
      <c r="C237" s="1628"/>
      <c r="D237" s="633">
        <f>SUM('3.1. terv alapegys'!C193)</f>
        <v>14520</v>
      </c>
    </row>
    <row r="238" spans="1:4" ht="63" customHeight="1">
      <c r="A238" s="1101" t="s">
        <v>182</v>
      </c>
      <c r="B238" s="1627" t="s">
        <v>1401</v>
      </c>
      <c r="C238" s="1627"/>
      <c r="D238" s="633">
        <f>SUM('3.1. terv alapegys'!C194)</f>
        <v>7000</v>
      </c>
    </row>
    <row r="239" spans="1:4" ht="36" customHeight="1">
      <c r="A239" s="1100" t="s">
        <v>1487</v>
      </c>
      <c r="B239" s="1627" t="s">
        <v>425</v>
      </c>
      <c r="C239" s="1627"/>
      <c r="D239" s="633">
        <f>SUM('3.1. terv alapegys'!C195)</f>
        <v>450000</v>
      </c>
    </row>
    <row r="240" spans="1:4" ht="25.5" customHeight="1">
      <c r="A240" s="1100" t="s">
        <v>643</v>
      </c>
      <c r="B240" s="1784" t="s">
        <v>486</v>
      </c>
      <c r="C240" s="1784"/>
      <c r="D240" s="633">
        <f>SUM('3.1. terv alapegys'!C196)</f>
        <v>600000</v>
      </c>
    </row>
    <row r="241" spans="1:4" ht="21.75" customHeight="1">
      <c r="A241" s="1100" t="s">
        <v>1489</v>
      </c>
      <c r="B241" s="1625" t="s">
        <v>334</v>
      </c>
      <c r="C241" s="1626"/>
      <c r="D241" s="633">
        <f>SUM('3.1. terv alapegys'!C197)</f>
        <v>85000</v>
      </c>
    </row>
    <row r="242" spans="1:4" ht="21.75" customHeight="1">
      <c r="A242" s="1100" t="s">
        <v>1490</v>
      </c>
      <c r="B242" s="1625" t="s">
        <v>335</v>
      </c>
      <c r="C242" s="1626"/>
      <c r="D242" s="633">
        <f>SUM('3.1. terv alapegys'!C198)</f>
        <v>172000</v>
      </c>
    </row>
    <row r="243" spans="1:4" ht="21.75" customHeight="1">
      <c r="A243" s="1100" t="s">
        <v>1491</v>
      </c>
      <c r="B243" s="1625" t="s">
        <v>336</v>
      </c>
      <c r="C243" s="1626"/>
      <c r="D243" s="633">
        <f>SUM('3.1. terv alapegys'!C199)</f>
        <v>30000</v>
      </c>
    </row>
    <row r="244" spans="1:4" ht="30" customHeight="1">
      <c r="A244" s="1100" t="s">
        <v>1492</v>
      </c>
      <c r="B244" s="1623" t="s">
        <v>487</v>
      </c>
      <c r="C244" s="1624"/>
      <c r="D244" s="633">
        <f>SUM('3.1. terv alapegys'!C200)</f>
        <v>5000</v>
      </c>
    </row>
    <row r="245" spans="1:4" ht="49.5" customHeight="1">
      <c r="A245" s="1100" t="s">
        <v>1493</v>
      </c>
      <c r="B245" s="1623" t="s">
        <v>488</v>
      </c>
      <c r="C245" s="1624"/>
      <c r="D245" s="633">
        <f>SUM('3.1. terv alapegys'!C201)</f>
        <v>4500</v>
      </c>
    </row>
    <row r="246" spans="1:4" ht="21.75" customHeight="1">
      <c r="A246" s="1100" t="s">
        <v>238</v>
      </c>
      <c r="B246" s="1625" t="s">
        <v>337</v>
      </c>
      <c r="C246" s="1626"/>
      <c r="D246" s="633">
        <f>SUM('3.1. terv alapegys'!C202)</f>
        <v>1500</v>
      </c>
    </row>
    <row r="247" spans="1:4" ht="33.75" customHeight="1">
      <c r="A247" s="1101" t="s">
        <v>1208</v>
      </c>
      <c r="B247" s="1623" t="s">
        <v>427</v>
      </c>
      <c r="C247" s="1624"/>
      <c r="D247" s="633">
        <f>SUM('3.1. terv alapegys'!C203)</f>
        <v>8000</v>
      </c>
    </row>
    <row r="248" spans="1:4" ht="15">
      <c r="A248" s="1101" t="s">
        <v>29</v>
      </c>
      <c r="B248" s="1623" t="s">
        <v>509</v>
      </c>
      <c r="C248" s="1624"/>
      <c r="D248" s="633">
        <f>SUM('3.1. terv alapegys'!C204)</f>
        <v>5000</v>
      </c>
    </row>
    <row r="249" spans="1:4" ht="30">
      <c r="A249" s="1101" t="s">
        <v>239</v>
      </c>
      <c r="B249" s="1623" t="s">
        <v>514</v>
      </c>
      <c r="C249" s="1624"/>
      <c r="D249" s="633">
        <f>SUM('3.1. terv alapegys'!C205)</f>
        <v>1000</v>
      </c>
    </row>
    <row r="250" spans="1:4" ht="21.75" customHeight="1">
      <c r="A250" s="1100" t="s">
        <v>565</v>
      </c>
      <c r="B250" s="1628" t="s">
        <v>489</v>
      </c>
      <c r="C250" s="1628"/>
      <c r="D250" s="633">
        <f>SUM('3.1. terv alapegys'!C206)</f>
        <v>8250</v>
      </c>
    </row>
    <row r="251" spans="1:4" ht="30">
      <c r="A251" s="1101" t="s">
        <v>354</v>
      </c>
      <c r="B251" s="1627" t="s">
        <v>510</v>
      </c>
      <c r="C251" s="1627"/>
      <c r="D251" s="633">
        <f>SUM('3.1. terv alapegys'!C207)</f>
        <v>5000</v>
      </c>
    </row>
    <row r="252" spans="1:4" ht="21.75" customHeight="1">
      <c r="A252" s="1101" t="s">
        <v>1436</v>
      </c>
      <c r="B252" s="1627" t="s">
        <v>511</v>
      </c>
      <c r="C252" s="1627"/>
      <c r="D252" s="633">
        <f>SUM('3.1. terv alapegys'!C208)</f>
        <v>20000</v>
      </c>
    </row>
    <row r="253" spans="1:4" ht="15">
      <c r="A253" s="1101" t="s">
        <v>644</v>
      </c>
      <c r="B253" s="1628" t="s">
        <v>512</v>
      </c>
      <c r="C253" s="1628"/>
      <c r="D253" s="633">
        <f>SUM('3.1. terv alapegys'!C209)</f>
        <v>8000</v>
      </c>
    </row>
    <row r="254" spans="1:4" ht="33.75" customHeight="1">
      <c r="A254" s="1102" t="s">
        <v>645</v>
      </c>
      <c r="B254" s="1628" t="s">
        <v>513</v>
      </c>
      <c r="C254" s="1628"/>
      <c r="D254" s="633">
        <f>SUM('3.1. terv alapegys'!C210)</f>
        <v>41000</v>
      </c>
    </row>
    <row r="255" spans="1:4" ht="36.75" customHeight="1">
      <c r="A255" s="1101" t="s">
        <v>566</v>
      </c>
      <c r="B255" s="1628" t="s">
        <v>426</v>
      </c>
      <c r="C255" s="1628"/>
      <c r="D255" s="633">
        <f>SUM('3.1. terv alapegys'!C211)</f>
        <v>10000</v>
      </c>
    </row>
    <row r="256" spans="1:4" ht="45.75" customHeight="1">
      <c r="A256" s="1649" t="s">
        <v>1029</v>
      </c>
      <c r="B256" s="1650"/>
      <c r="C256" s="1651"/>
      <c r="D256" s="634">
        <f>SUM(D257:D266)</f>
        <v>321500</v>
      </c>
    </row>
    <row r="257" spans="1:4" ht="72" customHeight="1">
      <c r="A257" s="664" t="s">
        <v>931</v>
      </c>
      <c r="B257" s="1682" t="s">
        <v>27</v>
      </c>
      <c r="C257" s="1683"/>
      <c r="D257" s="632">
        <f>SUM('3.1. terv alapegys'!C213)</f>
        <v>64000</v>
      </c>
    </row>
    <row r="258" spans="1:4" ht="30" customHeight="1">
      <c r="A258" s="641" t="s">
        <v>1030</v>
      </c>
      <c r="B258" s="1670" t="s">
        <v>1130</v>
      </c>
      <c r="C258" s="1670"/>
      <c r="D258" s="633">
        <f>SUM('3.1. terv alapegys'!C214)</f>
        <v>80000</v>
      </c>
    </row>
    <row r="259" spans="1:4" ht="62.25" customHeight="1">
      <c r="A259" s="641" t="s">
        <v>1031</v>
      </c>
      <c r="B259" s="1673" t="s">
        <v>428</v>
      </c>
      <c r="C259" s="1674"/>
      <c r="D259" s="633">
        <f>SUM('3.1. terv alapegys'!C215)</f>
        <v>15300</v>
      </c>
    </row>
    <row r="260" spans="1:4" ht="59.25" customHeight="1">
      <c r="A260" s="641" t="s">
        <v>932</v>
      </c>
      <c r="B260" s="1665" t="s">
        <v>429</v>
      </c>
      <c r="C260" s="1665"/>
      <c r="D260" s="633">
        <f>SUM('3.1. terv alapegys'!C216)</f>
        <v>60000</v>
      </c>
    </row>
    <row r="261" spans="1:4" ht="48" customHeight="1">
      <c r="A261" s="641" t="s">
        <v>933</v>
      </c>
      <c r="B261" s="1665" t="s">
        <v>430</v>
      </c>
      <c r="C261" s="1665"/>
      <c r="D261" s="633">
        <f>SUM('3.1. terv alapegys'!C217)</f>
        <v>6000</v>
      </c>
    </row>
    <row r="262" spans="1:4" ht="71.25" customHeight="1">
      <c r="A262" s="641" t="s">
        <v>934</v>
      </c>
      <c r="B262" s="1665" t="s">
        <v>516</v>
      </c>
      <c r="C262" s="1665"/>
      <c r="D262" s="633">
        <f>SUM('3.1. terv alapegys'!C218)</f>
        <v>67500</v>
      </c>
    </row>
    <row r="263" spans="1:4" ht="57" customHeight="1">
      <c r="A263" s="1357" t="s">
        <v>935</v>
      </c>
      <c r="B263" s="1681" t="s">
        <v>431</v>
      </c>
      <c r="C263" s="1681"/>
      <c r="D263" s="739">
        <f>SUM('3.1. terv alapegys'!C219)</f>
        <v>4000</v>
      </c>
    </row>
    <row r="264" spans="1:4" ht="45.75" customHeight="1">
      <c r="A264" s="1356" t="s">
        <v>1032</v>
      </c>
      <c r="B264" s="1669" t="s">
        <v>432</v>
      </c>
      <c r="C264" s="1669"/>
      <c r="D264" s="1399">
        <f>SUM('3.1. terv alapegys'!C220)</f>
        <v>12200</v>
      </c>
    </row>
    <row r="265" spans="1:4" ht="60" customHeight="1">
      <c r="A265" s="641" t="s">
        <v>1200</v>
      </c>
      <c r="B265" s="1665" t="s">
        <v>26</v>
      </c>
      <c r="C265" s="1665"/>
      <c r="D265" s="633">
        <f>SUM('3.1. terv alapegys'!C221)</f>
        <v>8000</v>
      </c>
    </row>
    <row r="266" spans="1:4" ht="60" customHeight="1">
      <c r="A266" s="629" t="s">
        <v>945</v>
      </c>
      <c r="B266" s="1675" t="s">
        <v>515</v>
      </c>
      <c r="C266" s="1675"/>
      <c r="D266" s="633">
        <f>SUM('3.1. terv alapegys'!C222)</f>
        <v>4500</v>
      </c>
    </row>
    <row r="267" spans="1:4" ht="45.75" customHeight="1">
      <c r="A267" s="1649" t="s">
        <v>1033</v>
      </c>
      <c r="B267" s="1650"/>
      <c r="C267" s="1651"/>
      <c r="D267" s="634">
        <f>SUM(D268:D276)</f>
        <v>389200</v>
      </c>
    </row>
    <row r="268" spans="1:4" ht="54.75" customHeight="1">
      <c r="A268" s="627" t="s">
        <v>1034</v>
      </c>
      <c r="B268" s="1664" t="s">
        <v>977</v>
      </c>
      <c r="C268" s="1664"/>
      <c r="D268" s="632">
        <f>SUM('3.1. terv alapegys'!C224)</f>
        <v>25000</v>
      </c>
    </row>
    <row r="269" spans="1:4" ht="48" customHeight="1">
      <c r="A269" s="628" t="s">
        <v>937</v>
      </c>
      <c r="B269" s="1665" t="s">
        <v>978</v>
      </c>
      <c r="C269" s="1665"/>
      <c r="D269" s="633">
        <f>SUM('3.1. terv alapegys'!C225)</f>
        <v>75000</v>
      </c>
    </row>
    <row r="270" spans="1:4" ht="60.75" customHeight="1">
      <c r="A270" s="628" t="s">
        <v>938</v>
      </c>
      <c r="B270" s="1665" t="s">
        <v>979</v>
      </c>
      <c r="C270" s="1665"/>
      <c r="D270" s="633">
        <f>SUM('3.1. terv alapegys'!C226)</f>
        <v>21200</v>
      </c>
    </row>
    <row r="271" spans="1:4" ht="46.5" customHeight="1">
      <c r="A271" s="628" t="s">
        <v>1201</v>
      </c>
      <c r="B271" s="1665" t="s">
        <v>1043</v>
      </c>
      <c r="C271" s="1665"/>
      <c r="D271" s="633">
        <f>SUM('3.1. terv alapegys'!C227)</f>
        <v>25000</v>
      </c>
    </row>
    <row r="272" spans="1:4" ht="34.5" customHeight="1">
      <c r="A272" s="628" t="s">
        <v>939</v>
      </c>
      <c r="B272" s="1671" t="s">
        <v>1044</v>
      </c>
      <c r="C272" s="1672"/>
      <c r="D272" s="633">
        <f>SUM('3.1. terv alapegys'!C228)</f>
        <v>80000</v>
      </c>
    </row>
    <row r="273" spans="1:4" ht="39" customHeight="1">
      <c r="A273" s="628" t="s">
        <v>213</v>
      </c>
      <c r="B273" s="1671" t="s">
        <v>1045</v>
      </c>
      <c r="C273" s="1672"/>
      <c r="D273" s="633">
        <f>SUM('3.1. terv alapegys'!C229)</f>
        <v>122000</v>
      </c>
    </row>
    <row r="274" spans="1:4" ht="57.75" customHeight="1">
      <c r="A274" s="666" t="s">
        <v>517</v>
      </c>
      <c r="B274" s="1676" t="s">
        <v>28</v>
      </c>
      <c r="C274" s="1677"/>
      <c r="D274" s="633">
        <f>SUM('3.1. terv alapegys'!C230)</f>
        <v>20000</v>
      </c>
    </row>
    <row r="275" spans="1:4" ht="39.75" customHeight="1">
      <c r="A275" s="665" t="s">
        <v>1203</v>
      </c>
      <c r="B275" s="1678" t="s">
        <v>1046</v>
      </c>
      <c r="C275" s="1679"/>
      <c r="D275" s="633">
        <f>SUM('3.1. terv alapegys'!C231)</f>
        <v>1000</v>
      </c>
    </row>
    <row r="276" spans="1:4" ht="37.5" customHeight="1">
      <c r="A276" s="1362" t="s">
        <v>1204</v>
      </c>
      <c r="B276" s="1680" t="s">
        <v>1118</v>
      </c>
      <c r="C276" s="1680"/>
      <c r="D276" s="739">
        <f>SUM('3.1. terv alapegys'!C232)</f>
        <v>20000</v>
      </c>
    </row>
    <row r="277" spans="1:4" ht="39.75" customHeight="1">
      <c r="A277" s="1649" t="s">
        <v>1035</v>
      </c>
      <c r="B277" s="1650"/>
      <c r="C277" s="1651"/>
      <c r="D277" s="634">
        <f>SUM(D278:D303)</f>
        <v>1548764</v>
      </c>
    </row>
    <row r="278" spans="1:4" ht="23.25" customHeight="1">
      <c r="A278" s="1666" t="s">
        <v>1131</v>
      </c>
      <c r="B278" s="1400" t="s">
        <v>1132</v>
      </c>
      <c r="C278" s="1401">
        <v>829367</v>
      </c>
      <c r="D278" s="1620">
        <f>SUM(C280:C282)</f>
        <v>1536573</v>
      </c>
    </row>
    <row r="279" spans="1:4" ht="23.25" customHeight="1">
      <c r="A279" s="1667"/>
      <c r="B279" s="1402" t="s">
        <v>1133</v>
      </c>
      <c r="C279" s="1403">
        <v>224999</v>
      </c>
      <c r="D279" s="1621"/>
    </row>
    <row r="280" spans="1:4" ht="23.25" customHeight="1">
      <c r="A280" s="1667"/>
      <c r="B280" s="1404" t="s">
        <v>1134</v>
      </c>
      <c r="C280" s="1405">
        <f>SUM(C278:C279)</f>
        <v>1054366</v>
      </c>
      <c r="D280" s="1621"/>
    </row>
    <row r="281" spans="1:4" ht="23.25" customHeight="1">
      <c r="A281" s="1667"/>
      <c r="B281" s="1402" t="s">
        <v>91</v>
      </c>
      <c r="C281" s="1403">
        <v>307722</v>
      </c>
      <c r="D281" s="1621"/>
    </row>
    <row r="282" spans="1:4" ht="23.25" customHeight="1">
      <c r="A282" s="1667"/>
      <c r="B282" s="1402" t="s">
        <v>93</v>
      </c>
      <c r="C282" s="1403">
        <v>174485</v>
      </c>
      <c r="D282" s="1621"/>
    </row>
    <row r="283" spans="1:4" ht="23.25" customHeight="1">
      <c r="A283" s="1667"/>
      <c r="B283" s="1402" t="s">
        <v>1135</v>
      </c>
      <c r="C283" s="1403">
        <v>261</v>
      </c>
      <c r="D283" s="1622"/>
    </row>
    <row r="284" spans="1:5" ht="25.5" customHeight="1">
      <c r="A284" s="1652" t="s">
        <v>1136</v>
      </c>
      <c r="B284" s="1098" t="s">
        <v>1122</v>
      </c>
      <c r="C284" s="703">
        <v>150</v>
      </c>
      <c r="D284" s="1618">
        <f>SUM(C284:C303)</f>
        <v>12191</v>
      </c>
      <c r="E284" s="1406"/>
    </row>
    <row r="285" spans="1:5" ht="29.25" customHeight="1">
      <c r="A285" s="1653"/>
      <c r="B285" s="1098" t="s">
        <v>1123</v>
      </c>
      <c r="C285" s="703">
        <v>3000</v>
      </c>
      <c r="D285" s="1618"/>
      <c r="E285" s="1406"/>
    </row>
    <row r="286" spans="1:5" ht="23.25" customHeight="1">
      <c r="A286" s="1653"/>
      <c r="B286" s="1098" t="s">
        <v>603</v>
      </c>
      <c r="C286" s="703">
        <v>121</v>
      </c>
      <c r="D286" s="1618"/>
      <c r="E286" s="1406"/>
    </row>
    <row r="287" spans="1:5" ht="23.25" customHeight="1">
      <c r="A287" s="1653"/>
      <c r="B287" s="1098" t="s">
        <v>1140</v>
      </c>
      <c r="C287" s="703">
        <v>45</v>
      </c>
      <c r="D287" s="1618"/>
      <c r="E287" s="1406"/>
    </row>
    <row r="288" spans="1:5" ht="23.25" customHeight="1">
      <c r="A288" s="1653"/>
      <c r="B288" s="1098" t="s">
        <v>1138</v>
      </c>
      <c r="C288" s="703">
        <v>155</v>
      </c>
      <c r="D288" s="1618"/>
      <c r="E288" s="1406"/>
    </row>
    <row r="289" spans="1:5" ht="23.25" customHeight="1">
      <c r="A289" s="1653"/>
      <c r="B289" s="1098" t="s">
        <v>605</v>
      </c>
      <c r="C289" s="703">
        <v>200</v>
      </c>
      <c r="D289" s="1618"/>
      <c r="E289" s="1406"/>
    </row>
    <row r="290" spans="1:5" ht="23.25" customHeight="1">
      <c r="A290" s="1653"/>
      <c r="B290" s="1098" t="s">
        <v>606</v>
      </c>
      <c r="C290" s="703">
        <v>875</v>
      </c>
      <c r="D290" s="1618"/>
      <c r="E290" s="1406"/>
    </row>
    <row r="291" spans="1:5" ht="23.25" customHeight="1">
      <c r="A291" s="1653"/>
      <c r="B291" s="1098" t="s">
        <v>1124</v>
      </c>
      <c r="C291" s="703">
        <v>10</v>
      </c>
      <c r="D291" s="1618"/>
      <c r="E291" s="1406"/>
    </row>
    <row r="292" spans="1:5" ht="23.25" customHeight="1">
      <c r="A292" s="1653"/>
      <c r="B292" s="1098" t="s">
        <v>604</v>
      </c>
      <c r="C292" s="703">
        <v>3061</v>
      </c>
      <c r="D292" s="1618"/>
      <c r="E292" s="1406"/>
    </row>
    <row r="293" spans="1:5" ht="23.25" customHeight="1">
      <c r="A293" s="1653"/>
      <c r="B293" s="1098" t="s">
        <v>1139</v>
      </c>
      <c r="C293" s="703">
        <v>150</v>
      </c>
      <c r="D293" s="1618"/>
      <c r="E293" s="1406"/>
    </row>
    <row r="294" spans="1:5" ht="23.25" customHeight="1">
      <c r="A294" s="1653"/>
      <c r="B294" s="1098" t="s">
        <v>1125</v>
      </c>
      <c r="C294" s="703">
        <v>350</v>
      </c>
      <c r="D294" s="1618"/>
      <c r="E294" s="1406"/>
    </row>
    <row r="295" spans="1:5" ht="23.25" customHeight="1">
      <c r="A295" s="1653"/>
      <c r="B295" s="1098" t="s">
        <v>1143</v>
      </c>
      <c r="C295" s="703">
        <v>5</v>
      </c>
      <c r="D295" s="1618"/>
      <c r="E295" s="1406"/>
    </row>
    <row r="296" spans="1:5" ht="23.25" customHeight="1">
      <c r="A296" s="1653"/>
      <c r="B296" s="1098" t="s">
        <v>1141</v>
      </c>
      <c r="C296" s="703">
        <v>750</v>
      </c>
      <c r="D296" s="1618"/>
      <c r="E296" s="1407"/>
    </row>
    <row r="297" spans="1:5" ht="23.25" customHeight="1">
      <c r="A297" s="1653"/>
      <c r="B297" s="1098" t="s">
        <v>1126</v>
      </c>
      <c r="C297" s="703">
        <v>40</v>
      </c>
      <c r="D297" s="1618"/>
      <c r="E297" s="1407"/>
    </row>
    <row r="298" spans="1:5" ht="23.25" customHeight="1">
      <c r="A298" s="1653"/>
      <c r="B298" s="1098" t="s">
        <v>607</v>
      </c>
      <c r="C298" s="703">
        <v>207</v>
      </c>
      <c r="D298" s="1618"/>
      <c r="E298" s="1407"/>
    </row>
    <row r="299" spans="1:5" ht="23.25" customHeight="1">
      <c r="A299" s="1653"/>
      <c r="B299" s="1098" t="s">
        <v>1144</v>
      </c>
      <c r="C299" s="703">
        <v>500</v>
      </c>
      <c r="D299" s="1618"/>
      <c r="E299" s="1407"/>
    </row>
    <row r="300" spans="1:5" ht="23.25" customHeight="1">
      <c r="A300" s="1653"/>
      <c r="B300" s="1098" t="s">
        <v>1127</v>
      </c>
      <c r="C300" s="703">
        <v>135</v>
      </c>
      <c r="D300" s="1618"/>
      <c r="E300" s="1407"/>
    </row>
    <row r="301" spans="1:5" ht="23.25" customHeight="1">
      <c r="A301" s="1653"/>
      <c r="B301" s="1098" t="s">
        <v>1142</v>
      </c>
      <c r="C301" s="703">
        <v>297</v>
      </c>
      <c r="D301" s="1618"/>
      <c r="E301" s="1407"/>
    </row>
    <row r="302" spans="1:5" ht="23.25" customHeight="1">
      <c r="A302" s="1653"/>
      <c r="B302" s="1098" t="s">
        <v>1128</v>
      </c>
      <c r="C302" s="703">
        <v>755</v>
      </c>
      <c r="D302" s="1618"/>
      <c r="E302" s="1407"/>
    </row>
    <row r="303" spans="1:5" ht="23.25" customHeight="1">
      <c r="A303" s="1654"/>
      <c r="B303" s="1099" t="s">
        <v>1137</v>
      </c>
      <c r="C303" s="704">
        <v>1385</v>
      </c>
      <c r="D303" s="1619"/>
      <c r="E303" s="1407"/>
    </row>
    <row r="304" spans="1:4" ht="39.75" customHeight="1">
      <c r="A304" s="1646" t="s">
        <v>942</v>
      </c>
      <c r="B304" s="1647"/>
      <c r="C304" s="1648"/>
      <c r="D304" s="1394">
        <f>SUM('3.1. terv alapegys'!C234)</f>
        <v>202923</v>
      </c>
    </row>
    <row r="305" spans="1:4" ht="39.75" customHeight="1">
      <c r="A305" s="1649" t="s">
        <v>943</v>
      </c>
      <c r="B305" s="1650"/>
      <c r="C305" s="1651"/>
      <c r="D305" s="634">
        <f>SUM(D307,D311,D312,D306)</f>
        <v>1344854.25</v>
      </c>
    </row>
    <row r="306" spans="1:4" ht="39" customHeight="1">
      <c r="A306" s="667" t="s">
        <v>1036</v>
      </c>
      <c r="B306" s="1668" t="s">
        <v>1145</v>
      </c>
      <c r="C306" s="1668"/>
      <c r="D306" s="1408">
        <f>SUM('3.1. terv alapegys'!C236)</f>
        <v>10000</v>
      </c>
    </row>
    <row r="307" spans="1:4" ht="21.75" customHeight="1">
      <c r="A307" s="1616" t="s">
        <v>1037</v>
      </c>
      <c r="B307" s="1617"/>
      <c r="C307" s="1617"/>
      <c r="D307" s="1409">
        <f>SUM(D308:D310)</f>
        <v>269000</v>
      </c>
    </row>
    <row r="308" spans="1:4" ht="54" customHeight="1">
      <c r="A308" s="661" t="s">
        <v>946</v>
      </c>
      <c r="B308" s="1628" t="s">
        <v>1146</v>
      </c>
      <c r="C308" s="1628"/>
      <c r="D308" s="633">
        <f>SUM('3.1. terv alapegys'!C238)</f>
        <v>30000</v>
      </c>
    </row>
    <row r="309" spans="1:4" ht="45" customHeight="1">
      <c r="A309" s="661" t="s">
        <v>1038</v>
      </c>
      <c r="B309" s="1627" t="s">
        <v>139</v>
      </c>
      <c r="C309" s="1627"/>
      <c r="D309" s="633">
        <f>SUM('3.1. terv alapegys'!C239)</f>
        <v>20000</v>
      </c>
    </row>
    <row r="310" spans="1:4" ht="45" customHeight="1">
      <c r="A310" s="305" t="s">
        <v>855</v>
      </c>
      <c r="B310" s="1627" t="s">
        <v>518</v>
      </c>
      <c r="C310" s="1627"/>
      <c r="D310" s="633">
        <f>SUM('3.1. terv alapegys'!C240)</f>
        <v>219000</v>
      </c>
    </row>
    <row r="311" spans="1:4" ht="31.5" customHeight="1">
      <c r="A311" s="1616" t="s">
        <v>647</v>
      </c>
      <c r="B311" s="1617"/>
      <c r="C311" s="1617"/>
      <c r="D311" s="1409">
        <f>SUM('3.1. terv alapegys'!C241)</f>
        <v>691130.25</v>
      </c>
    </row>
    <row r="312" spans="1:4" ht="31.5" customHeight="1">
      <c r="A312" s="1616" t="s">
        <v>947</v>
      </c>
      <c r="B312" s="1617"/>
      <c r="C312" s="1617"/>
      <c r="D312" s="1409">
        <f>SUM('3.1. terv alapegys'!C242)</f>
        <v>374724</v>
      </c>
    </row>
    <row r="313" spans="1:4" ht="30.75" customHeight="1">
      <c r="A313" s="661" t="s">
        <v>490</v>
      </c>
      <c r="B313" s="1627" t="s">
        <v>1119</v>
      </c>
      <c r="C313" s="1627"/>
      <c r="D313" s="633">
        <f>SUM('3.1. terv alapegys'!C243)</f>
        <v>84724</v>
      </c>
    </row>
    <row r="314" spans="1:4" ht="37.5" customHeight="1">
      <c r="A314" s="661" t="s">
        <v>491</v>
      </c>
      <c r="B314" s="1627" t="s">
        <v>1119</v>
      </c>
      <c r="C314" s="1627"/>
      <c r="D314" s="633">
        <f>SUM('3.1. terv alapegys'!C244)</f>
        <v>290000</v>
      </c>
    </row>
    <row r="315" spans="1:4" ht="32.25" customHeight="1">
      <c r="A315" s="1616" t="s">
        <v>1039</v>
      </c>
      <c r="B315" s="1617" t="s">
        <v>140</v>
      </c>
      <c r="C315" s="1617"/>
      <c r="D315" s="1409"/>
    </row>
    <row r="316" spans="1:4" ht="27.75" customHeight="1">
      <c r="A316" s="1747" t="s">
        <v>141</v>
      </c>
      <c r="B316" s="1748"/>
      <c r="C316" s="1749"/>
      <c r="D316" s="1395">
        <f>SUM(D9,D31,D100,D107,D181,D202,D204,D223,D256,D267,D277,D304,D305)</f>
        <v>9794941.453</v>
      </c>
    </row>
    <row r="317" spans="1:4" ht="15">
      <c r="A317" s="655"/>
      <c r="B317" s="655"/>
      <c r="C317" s="656"/>
      <c r="D317" s="1410"/>
    </row>
    <row r="318" spans="1:4" ht="15">
      <c r="A318" s="668"/>
      <c r="B318" s="668"/>
      <c r="C318" s="656"/>
      <c r="D318" s="1410"/>
    </row>
    <row r="319" spans="1:4" ht="15">
      <c r="A319" s="668"/>
      <c r="B319" s="668"/>
      <c r="C319" s="656"/>
      <c r="D319" s="1410"/>
    </row>
    <row r="320" spans="1:4" ht="15">
      <c r="A320" s="668"/>
      <c r="B320" s="668"/>
      <c r="C320" s="656"/>
      <c r="D320" s="1410"/>
    </row>
    <row r="321" spans="1:4" ht="15">
      <c r="A321" s="668"/>
      <c r="B321" s="668"/>
      <c r="C321" s="656"/>
      <c r="D321" s="1410"/>
    </row>
    <row r="322" spans="1:4" ht="15">
      <c r="A322" s="668"/>
      <c r="B322" s="668"/>
      <c r="C322" s="656"/>
      <c r="D322" s="1410"/>
    </row>
    <row r="323" spans="1:4" ht="15">
      <c r="A323" s="668"/>
      <c r="B323" s="668"/>
      <c r="C323" s="656"/>
      <c r="D323" s="1410"/>
    </row>
    <row r="324" spans="1:4" ht="15">
      <c r="A324" s="668"/>
      <c r="B324" s="668"/>
      <c r="C324" s="656"/>
      <c r="D324" s="1410"/>
    </row>
    <row r="325" spans="1:4" ht="15">
      <c r="A325" s="668"/>
      <c r="B325" s="668"/>
      <c r="C325" s="656"/>
      <c r="D325" s="1410"/>
    </row>
    <row r="326" spans="1:4" ht="15">
      <c r="A326" s="668"/>
      <c r="B326" s="668"/>
      <c r="C326" s="656"/>
      <c r="D326" s="1410"/>
    </row>
    <row r="327" spans="1:4" ht="15">
      <c r="A327" s="668"/>
      <c r="B327" s="668"/>
      <c r="C327" s="656"/>
      <c r="D327" s="1410"/>
    </row>
    <row r="328" spans="1:4" ht="15">
      <c r="A328" s="668"/>
      <c r="B328" s="668"/>
      <c r="C328" s="656"/>
      <c r="D328" s="1410"/>
    </row>
    <row r="329" spans="1:4" ht="15">
      <c r="A329" s="668"/>
      <c r="B329" s="668"/>
      <c r="C329" s="656"/>
      <c r="D329" s="1410"/>
    </row>
    <row r="330" spans="1:4" ht="15">
      <c r="A330" s="668"/>
      <c r="B330" s="668"/>
      <c r="C330" s="656"/>
      <c r="D330" s="1410"/>
    </row>
    <row r="331" spans="1:4" ht="15">
      <c r="A331" s="668"/>
      <c r="B331" s="668"/>
      <c r="C331" s="656"/>
      <c r="D331" s="1410"/>
    </row>
    <row r="332" spans="1:4" ht="15">
      <c r="A332" s="668"/>
      <c r="B332" s="668"/>
      <c r="C332" s="656"/>
      <c r="D332" s="1410"/>
    </row>
    <row r="333" spans="1:4" ht="15">
      <c r="A333" s="668"/>
      <c r="B333" s="668"/>
      <c r="C333" s="656"/>
      <c r="D333" s="1410"/>
    </row>
    <row r="334" spans="1:4" ht="15">
      <c r="A334" s="668"/>
      <c r="B334" s="668"/>
      <c r="C334" s="656"/>
      <c r="D334" s="1410"/>
    </row>
    <row r="335" spans="1:4" ht="15">
      <c r="A335" s="668"/>
      <c r="B335" s="668"/>
      <c r="C335" s="656"/>
      <c r="D335" s="1410"/>
    </row>
    <row r="336" spans="1:4" ht="15">
      <c r="A336" s="668"/>
      <c r="B336" s="668"/>
      <c r="C336" s="656"/>
      <c r="D336" s="1410"/>
    </row>
    <row r="337" spans="1:4" ht="15">
      <c r="A337" s="668"/>
      <c r="B337" s="668"/>
      <c r="C337" s="656"/>
      <c r="D337" s="1410"/>
    </row>
    <row r="338" spans="1:4" ht="15">
      <c r="A338" s="668"/>
      <c r="B338" s="668"/>
      <c r="C338" s="656"/>
      <c r="D338" s="1410"/>
    </row>
    <row r="339" spans="1:4" ht="15">
      <c r="A339" s="668"/>
      <c r="B339" s="668"/>
      <c r="C339" s="656"/>
      <c r="D339" s="1410"/>
    </row>
    <row r="340" spans="1:4" ht="15">
      <c r="A340" s="668"/>
      <c r="B340" s="668"/>
      <c r="C340" s="656"/>
      <c r="D340" s="1410"/>
    </row>
    <row r="341" spans="1:4" ht="15">
      <c r="A341" s="668"/>
      <c r="B341" s="668"/>
      <c r="C341" s="656"/>
      <c r="D341" s="1410"/>
    </row>
    <row r="342" spans="1:4" ht="15">
      <c r="A342" s="668"/>
      <c r="B342" s="668"/>
      <c r="C342" s="656"/>
      <c r="D342" s="1410"/>
    </row>
    <row r="343" spans="1:4" ht="15">
      <c r="A343" s="668"/>
      <c r="B343" s="668"/>
      <c r="C343" s="656"/>
      <c r="D343" s="1410"/>
    </row>
    <row r="344" spans="1:4" ht="15">
      <c r="A344" s="668"/>
      <c r="B344" s="668"/>
      <c r="C344" s="656"/>
      <c r="D344" s="1410"/>
    </row>
    <row r="345" spans="1:4" ht="15">
      <c r="A345" s="668"/>
      <c r="B345" s="668"/>
      <c r="C345" s="656"/>
      <c r="D345" s="1410"/>
    </row>
    <row r="346" spans="1:4" ht="15">
      <c r="A346" s="668"/>
      <c r="B346" s="668"/>
      <c r="C346" s="656"/>
      <c r="D346" s="1410"/>
    </row>
    <row r="347" spans="1:3" ht="15">
      <c r="A347" s="668"/>
      <c r="B347" s="668"/>
      <c r="C347" s="656"/>
    </row>
    <row r="348" spans="1:3" ht="15">
      <c r="A348" s="668"/>
      <c r="B348" s="668"/>
      <c r="C348" s="656"/>
    </row>
    <row r="349" spans="1:3" ht="15">
      <c r="A349" s="668"/>
      <c r="B349" s="668"/>
      <c r="C349" s="656"/>
    </row>
    <row r="350" spans="1:3" ht="15">
      <c r="A350" s="668"/>
      <c r="B350" s="668"/>
      <c r="C350" s="656"/>
    </row>
    <row r="351" spans="1:3" ht="15">
      <c r="A351" s="668"/>
      <c r="B351" s="668"/>
      <c r="C351" s="656"/>
    </row>
    <row r="352" spans="1:3" ht="15">
      <c r="A352" s="668"/>
      <c r="B352" s="668"/>
      <c r="C352" s="656"/>
    </row>
    <row r="353" spans="1:3" ht="15">
      <c r="A353" s="668"/>
      <c r="B353" s="668"/>
      <c r="C353" s="656"/>
    </row>
    <row r="354" spans="1:3" ht="15">
      <c r="A354" s="668"/>
      <c r="B354" s="668"/>
      <c r="C354" s="656"/>
    </row>
    <row r="355" spans="1:3" ht="15">
      <c r="A355" s="668"/>
      <c r="B355" s="668"/>
      <c r="C355" s="656"/>
    </row>
    <row r="356" spans="1:3" ht="15">
      <c r="A356" s="668"/>
      <c r="B356" s="668"/>
      <c r="C356" s="656"/>
    </row>
    <row r="357" spans="1:3" ht="15">
      <c r="A357" s="668"/>
      <c r="B357" s="668"/>
      <c r="C357" s="656"/>
    </row>
    <row r="358" spans="1:3" ht="15">
      <c r="A358" s="668"/>
      <c r="B358" s="668"/>
      <c r="C358" s="656"/>
    </row>
    <row r="359" spans="1:3" ht="15">
      <c r="A359" s="668"/>
      <c r="B359" s="668"/>
      <c r="C359" s="656"/>
    </row>
    <row r="360" spans="1:3" ht="15">
      <c r="A360" s="668"/>
      <c r="B360" s="668"/>
      <c r="C360" s="656"/>
    </row>
    <row r="361" spans="1:3" ht="15">
      <c r="A361" s="668"/>
      <c r="B361" s="668"/>
      <c r="C361" s="656"/>
    </row>
    <row r="362" spans="1:3" ht="15">
      <c r="A362" s="668"/>
      <c r="B362" s="668"/>
      <c r="C362" s="656"/>
    </row>
    <row r="363" spans="1:3" ht="15">
      <c r="A363" s="668"/>
      <c r="B363" s="668"/>
      <c r="C363" s="656"/>
    </row>
    <row r="364" spans="1:3" ht="15">
      <c r="A364" s="668"/>
      <c r="B364" s="668"/>
      <c r="C364" s="656"/>
    </row>
    <row r="365" spans="1:3" ht="15">
      <c r="A365" s="668"/>
      <c r="B365" s="668"/>
      <c r="C365" s="656"/>
    </row>
    <row r="366" spans="1:3" ht="15">
      <c r="A366" s="668"/>
      <c r="B366" s="668"/>
      <c r="C366" s="656"/>
    </row>
    <row r="367" spans="1:3" ht="15">
      <c r="A367" s="668"/>
      <c r="B367" s="668"/>
      <c r="C367" s="656"/>
    </row>
    <row r="368" spans="1:3" ht="15">
      <c r="A368" s="668"/>
      <c r="B368" s="668"/>
      <c r="C368" s="656"/>
    </row>
    <row r="369" spans="1:3" ht="15">
      <c r="A369" s="668"/>
      <c r="B369" s="668"/>
      <c r="C369" s="656"/>
    </row>
    <row r="370" spans="1:3" ht="15">
      <c r="A370" s="668"/>
      <c r="B370" s="668"/>
      <c r="C370" s="656"/>
    </row>
    <row r="371" spans="1:3" ht="15">
      <c r="A371" s="668"/>
      <c r="B371" s="668"/>
      <c r="C371" s="656"/>
    </row>
    <row r="372" spans="1:3" ht="15">
      <c r="A372" s="668"/>
      <c r="B372" s="668"/>
      <c r="C372" s="656"/>
    </row>
    <row r="373" spans="1:3" ht="15">
      <c r="A373" s="668"/>
      <c r="B373" s="668"/>
      <c r="C373" s="656"/>
    </row>
    <row r="374" spans="1:3" ht="15">
      <c r="A374" s="668"/>
      <c r="B374" s="668"/>
      <c r="C374" s="656"/>
    </row>
    <row r="375" spans="1:3" ht="15">
      <c r="A375" s="668"/>
      <c r="B375" s="668"/>
      <c r="C375" s="656"/>
    </row>
    <row r="376" spans="1:3" ht="15">
      <c r="A376" s="668"/>
      <c r="B376" s="668"/>
      <c r="C376" s="656"/>
    </row>
    <row r="377" spans="1:3" ht="15">
      <c r="A377" s="668"/>
      <c r="B377" s="668"/>
      <c r="C377" s="656"/>
    </row>
    <row r="378" spans="1:3" ht="15">
      <c r="A378" s="668"/>
      <c r="B378" s="668"/>
      <c r="C378" s="656"/>
    </row>
    <row r="379" spans="1:3" ht="15">
      <c r="A379" s="668"/>
      <c r="B379" s="668"/>
      <c r="C379" s="656"/>
    </row>
    <row r="380" spans="1:3" ht="15">
      <c r="A380" s="668"/>
      <c r="B380" s="668"/>
      <c r="C380" s="656"/>
    </row>
    <row r="381" spans="1:3" ht="15">
      <c r="A381" s="668"/>
      <c r="B381" s="668"/>
      <c r="C381" s="656"/>
    </row>
    <row r="382" spans="1:3" ht="15">
      <c r="A382" s="668"/>
      <c r="B382" s="668"/>
      <c r="C382" s="656"/>
    </row>
    <row r="383" spans="1:3" ht="15">
      <c r="A383" s="668"/>
      <c r="B383" s="668"/>
      <c r="C383" s="656"/>
    </row>
    <row r="384" spans="1:3" ht="15">
      <c r="A384" s="668"/>
      <c r="B384" s="668"/>
      <c r="C384" s="656"/>
    </row>
    <row r="385" spans="1:3" ht="15">
      <c r="A385" s="668"/>
      <c r="B385" s="668"/>
      <c r="C385" s="656"/>
    </row>
    <row r="386" spans="1:3" ht="15">
      <c r="A386" s="668"/>
      <c r="B386" s="668"/>
      <c r="C386" s="656"/>
    </row>
    <row r="387" spans="1:3" ht="15">
      <c r="A387" s="668"/>
      <c r="B387" s="668"/>
      <c r="C387" s="656"/>
    </row>
    <row r="388" spans="1:3" ht="15">
      <c r="A388" s="668"/>
      <c r="B388" s="668"/>
      <c r="C388" s="656"/>
    </row>
    <row r="389" spans="1:3" ht="15">
      <c r="A389" s="668"/>
      <c r="B389" s="668"/>
      <c r="C389" s="656"/>
    </row>
    <row r="390" spans="1:3" ht="15">
      <c r="A390" s="668"/>
      <c r="B390" s="668"/>
      <c r="C390" s="656"/>
    </row>
    <row r="391" spans="1:3" ht="15">
      <c r="A391" s="668"/>
      <c r="B391" s="668"/>
      <c r="C391" s="656"/>
    </row>
    <row r="392" spans="1:3" ht="15">
      <c r="A392" s="668"/>
      <c r="B392" s="668"/>
      <c r="C392" s="656"/>
    </row>
    <row r="393" spans="1:3" ht="15">
      <c r="A393" s="668"/>
      <c r="B393" s="668"/>
      <c r="C393" s="656"/>
    </row>
    <row r="394" spans="1:3" ht="15">
      <c r="A394" s="668"/>
      <c r="B394" s="668"/>
      <c r="C394" s="656"/>
    </row>
    <row r="395" spans="1:3" ht="15">
      <c r="A395" s="668"/>
      <c r="B395" s="668"/>
      <c r="C395" s="656"/>
    </row>
    <row r="396" spans="1:3" ht="15">
      <c r="A396" s="668"/>
      <c r="B396" s="668"/>
      <c r="C396" s="656"/>
    </row>
    <row r="397" spans="1:3" ht="15">
      <c r="A397" s="668"/>
      <c r="B397" s="668"/>
      <c r="C397" s="656"/>
    </row>
    <row r="398" spans="1:3" ht="15">
      <c r="A398" s="668"/>
      <c r="B398" s="668"/>
      <c r="C398" s="656"/>
    </row>
    <row r="399" spans="1:3" ht="15">
      <c r="A399" s="668"/>
      <c r="B399" s="668"/>
      <c r="C399" s="656"/>
    </row>
    <row r="400" spans="1:3" ht="15">
      <c r="A400" s="668"/>
      <c r="B400" s="668"/>
      <c r="C400" s="656"/>
    </row>
    <row r="401" spans="1:3" ht="15">
      <c r="A401" s="668"/>
      <c r="B401" s="668"/>
      <c r="C401" s="656"/>
    </row>
    <row r="402" spans="1:3" ht="15">
      <c r="A402" s="668"/>
      <c r="B402" s="668"/>
      <c r="C402" s="656"/>
    </row>
    <row r="403" spans="1:3" ht="15">
      <c r="A403" s="668"/>
      <c r="B403" s="668"/>
      <c r="C403" s="656"/>
    </row>
    <row r="404" spans="1:3" ht="15">
      <c r="A404" s="668"/>
      <c r="B404" s="668"/>
      <c r="C404" s="656"/>
    </row>
    <row r="405" spans="1:3" ht="15">
      <c r="A405" s="668"/>
      <c r="B405" s="668"/>
      <c r="C405" s="656"/>
    </row>
    <row r="406" spans="1:3" ht="15">
      <c r="A406" s="668"/>
      <c r="B406" s="668"/>
      <c r="C406" s="656"/>
    </row>
    <row r="407" spans="1:3" ht="15">
      <c r="A407" s="668"/>
      <c r="B407" s="668"/>
      <c r="C407" s="656"/>
    </row>
    <row r="408" spans="1:3" ht="15">
      <c r="A408" s="668"/>
      <c r="B408" s="668"/>
      <c r="C408" s="656"/>
    </row>
    <row r="409" spans="1:3" ht="15">
      <c r="A409" s="668"/>
      <c r="B409" s="668"/>
      <c r="C409" s="656"/>
    </row>
    <row r="410" spans="1:3" ht="15">
      <c r="A410" s="668"/>
      <c r="B410" s="668"/>
      <c r="C410" s="656"/>
    </row>
    <row r="411" spans="1:3" ht="15">
      <c r="A411" s="668"/>
      <c r="B411" s="668"/>
      <c r="C411" s="656"/>
    </row>
    <row r="412" spans="1:3" ht="15">
      <c r="A412" s="668"/>
      <c r="B412" s="668"/>
      <c r="C412" s="656"/>
    </row>
    <row r="413" spans="1:3" ht="15">
      <c r="A413" s="668"/>
      <c r="B413" s="668"/>
      <c r="C413" s="656"/>
    </row>
    <row r="414" spans="1:3" ht="15">
      <c r="A414" s="668"/>
      <c r="B414" s="668"/>
      <c r="C414" s="656"/>
    </row>
    <row r="415" spans="1:3" ht="15">
      <c r="A415" s="668"/>
      <c r="B415" s="668"/>
      <c r="C415" s="656"/>
    </row>
    <row r="416" spans="1:3" ht="15">
      <c r="A416" s="668"/>
      <c r="B416" s="668"/>
      <c r="C416" s="656"/>
    </row>
    <row r="417" spans="1:3" ht="15">
      <c r="A417" s="668"/>
      <c r="B417" s="668"/>
      <c r="C417" s="656"/>
    </row>
    <row r="418" spans="1:3" ht="15">
      <c r="A418" s="668"/>
      <c r="B418" s="668"/>
      <c r="C418" s="656"/>
    </row>
    <row r="419" spans="1:3" ht="15">
      <c r="A419" s="668"/>
      <c r="B419" s="668"/>
      <c r="C419" s="656"/>
    </row>
    <row r="420" spans="1:3" ht="15">
      <c r="A420" s="668"/>
      <c r="B420" s="668"/>
      <c r="C420" s="656"/>
    </row>
    <row r="421" spans="1:3" ht="15">
      <c r="A421" s="668"/>
      <c r="B421" s="668"/>
      <c r="C421" s="656"/>
    </row>
    <row r="422" spans="1:3" ht="15">
      <c r="A422" s="668"/>
      <c r="B422" s="668"/>
      <c r="C422" s="656"/>
    </row>
    <row r="423" spans="1:3" ht="15">
      <c r="A423" s="668"/>
      <c r="B423" s="668"/>
      <c r="C423" s="656"/>
    </row>
    <row r="424" spans="1:3" ht="15">
      <c r="A424" s="668"/>
      <c r="B424" s="668"/>
      <c r="C424" s="656"/>
    </row>
    <row r="425" spans="1:3" ht="15">
      <c r="A425" s="668"/>
      <c r="B425" s="668"/>
      <c r="C425" s="656"/>
    </row>
    <row r="426" spans="1:3" ht="15">
      <c r="A426" s="668"/>
      <c r="B426" s="668"/>
      <c r="C426" s="656"/>
    </row>
    <row r="427" spans="1:3" ht="15">
      <c r="A427" s="668"/>
      <c r="B427" s="668"/>
      <c r="C427" s="656"/>
    </row>
    <row r="428" spans="1:3" ht="15">
      <c r="A428" s="668"/>
      <c r="B428" s="668"/>
      <c r="C428" s="656"/>
    </row>
    <row r="429" spans="1:3" ht="15">
      <c r="A429" s="668"/>
      <c r="B429" s="668"/>
      <c r="C429" s="656"/>
    </row>
    <row r="430" spans="1:3" ht="15">
      <c r="A430" s="668"/>
      <c r="B430" s="668"/>
      <c r="C430" s="656"/>
    </row>
    <row r="431" spans="1:3" ht="15">
      <c r="A431" s="668"/>
      <c r="B431" s="668"/>
      <c r="C431" s="656"/>
    </row>
    <row r="432" spans="1:3" ht="15">
      <c r="A432" s="668"/>
      <c r="B432" s="668"/>
      <c r="C432" s="656"/>
    </row>
    <row r="433" spans="1:3" ht="15">
      <c r="A433" s="668"/>
      <c r="B433" s="668"/>
      <c r="C433" s="656"/>
    </row>
    <row r="434" spans="1:3" ht="15">
      <c r="A434" s="668"/>
      <c r="B434" s="668"/>
      <c r="C434" s="656"/>
    </row>
    <row r="435" spans="1:3" ht="15">
      <c r="A435" s="668"/>
      <c r="B435" s="668"/>
      <c r="C435" s="656"/>
    </row>
    <row r="436" spans="1:3" ht="15">
      <c r="A436" s="668"/>
      <c r="B436" s="668"/>
      <c r="C436" s="656"/>
    </row>
    <row r="437" spans="1:3" ht="15">
      <c r="A437" s="668"/>
      <c r="B437" s="668"/>
      <c r="C437" s="656"/>
    </row>
    <row r="438" spans="1:3" ht="15">
      <c r="A438" s="668"/>
      <c r="B438" s="668"/>
      <c r="C438" s="656"/>
    </row>
  </sheetData>
  <mergeCells count="256">
    <mergeCell ref="B28:C30"/>
    <mergeCell ref="A26:C26"/>
    <mergeCell ref="A27:C27"/>
    <mergeCell ref="A10:C10"/>
    <mergeCell ref="B23:C23"/>
    <mergeCell ref="B24:C24"/>
    <mergeCell ref="B19:C19"/>
    <mergeCell ref="B20:C20"/>
    <mergeCell ref="B21:C21"/>
    <mergeCell ref="B22:C22"/>
    <mergeCell ref="B15:C15"/>
    <mergeCell ref="B16:C16"/>
    <mergeCell ref="B17:C17"/>
    <mergeCell ref="B18:C18"/>
    <mergeCell ref="B11:C11"/>
    <mergeCell ref="B12:C12"/>
    <mergeCell ref="B13:C13"/>
    <mergeCell ref="B14:C14"/>
    <mergeCell ref="B314:C314"/>
    <mergeCell ref="B99:C99"/>
    <mergeCell ref="B238:C238"/>
    <mergeCell ref="B254:C254"/>
    <mergeCell ref="B255:C255"/>
    <mergeCell ref="B240:C240"/>
    <mergeCell ref="B198:C198"/>
    <mergeCell ref="B199:C199"/>
    <mergeCell ref="B193:C193"/>
    <mergeCell ref="B200:C200"/>
    <mergeCell ref="D147:D149"/>
    <mergeCell ref="D132:D134"/>
    <mergeCell ref="D135:D136"/>
    <mergeCell ref="D137:D140"/>
    <mergeCell ref="D144:D145"/>
    <mergeCell ref="D109:D111"/>
    <mergeCell ref="D112:D119"/>
    <mergeCell ref="D121:D124"/>
    <mergeCell ref="D127:D131"/>
    <mergeCell ref="B191:C191"/>
    <mergeCell ref="B192:C192"/>
    <mergeCell ref="B201:C201"/>
    <mergeCell ref="B194:C194"/>
    <mergeCell ref="B195:C195"/>
    <mergeCell ref="B196:C196"/>
    <mergeCell ref="B197:C197"/>
    <mergeCell ref="B187:C187"/>
    <mergeCell ref="B188:C188"/>
    <mergeCell ref="B189:C189"/>
    <mergeCell ref="B190:C190"/>
    <mergeCell ref="B183:C183"/>
    <mergeCell ref="B184:C184"/>
    <mergeCell ref="B185:C185"/>
    <mergeCell ref="B186:C186"/>
    <mergeCell ref="B179:C179"/>
    <mergeCell ref="B180:C180"/>
    <mergeCell ref="A181:C181"/>
    <mergeCell ref="B182:C182"/>
    <mergeCell ref="A164:A168"/>
    <mergeCell ref="A169:C169"/>
    <mergeCell ref="A170:A174"/>
    <mergeCell ref="A175:A178"/>
    <mergeCell ref="B159:C159"/>
    <mergeCell ref="B160:C160"/>
    <mergeCell ref="A161:A162"/>
    <mergeCell ref="B163:C163"/>
    <mergeCell ref="A155:C155"/>
    <mergeCell ref="B156:C156"/>
    <mergeCell ref="B157:C157"/>
    <mergeCell ref="B158:C158"/>
    <mergeCell ref="B151:C151"/>
    <mergeCell ref="B152:C152"/>
    <mergeCell ref="B153:C153"/>
    <mergeCell ref="B154:C154"/>
    <mergeCell ref="A143:C143"/>
    <mergeCell ref="A144:A145"/>
    <mergeCell ref="A147:A149"/>
    <mergeCell ref="B150:C150"/>
    <mergeCell ref="C1:D1"/>
    <mergeCell ref="A316:C316"/>
    <mergeCell ref="A9:C9"/>
    <mergeCell ref="A205:A207"/>
    <mergeCell ref="D205:D207"/>
    <mergeCell ref="A208:A212"/>
    <mergeCell ref="D208:D212"/>
    <mergeCell ref="A213:A220"/>
    <mergeCell ref="D213:D220"/>
    <mergeCell ref="B120:C120"/>
    <mergeCell ref="B35:C35"/>
    <mergeCell ref="B47:C47"/>
    <mergeCell ref="A43:C43"/>
    <mergeCell ref="B44:C44"/>
    <mergeCell ref="B46:C46"/>
    <mergeCell ref="B45:C45"/>
    <mergeCell ref="B41:C41"/>
    <mergeCell ref="A2:D2"/>
    <mergeCell ref="A5:A8"/>
    <mergeCell ref="C5:D8"/>
    <mergeCell ref="C4:D4"/>
    <mergeCell ref="B5:B8"/>
    <mergeCell ref="A3:D3"/>
    <mergeCell ref="A31:C31"/>
    <mergeCell ref="A32:C32"/>
    <mergeCell ref="B42:C42"/>
    <mergeCell ref="B36:C36"/>
    <mergeCell ref="B37:C37"/>
    <mergeCell ref="B38:C38"/>
    <mergeCell ref="B39:C39"/>
    <mergeCell ref="B40:C40"/>
    <mergeCell ref="B33:C33"/>
    <mergeCell ref="B34:C34"/>
    <mergeCell ref="B51:C51"/>
    <mergeCell ref="B48:C48"/>
    <mergeCell ref="B49:C49"/>
    <mergeCell ref="B50:C50"/>
    <mergeCell ref="B53:C53"/>
    <mergeCell ref="A52:C52"/>
    <mergeCell ref="B54:C54"/>
    <mergeCell ref="B55:C55"/>
    <mergeCell ref="B56:C56"/>
    <mergeCell ref="B57:C57"/>
    <mergeCell ref="B58:C58"/>
    <mergeCell ref="B59:C59"/>
    <mergeCell ref="B60:C60"/>
    <mergeCell ref="B61:C61"/>
    <mergeCell ref="A109:A111"/>
    <mergeCell ref="B63:C63"/>
    <mergeCell ref="A62:C62"/>
    <mergeCell ref="B64:C64"/>
    <mergeCell ref="A70:C70"/>
    <mergeCell ref="A74:C74"/>
    <mergeCell ref="B72:C72"/>
    <mergeCell ref="B73:C73"/>
    <mergeCell ref="B76:C76"/>
    <mergeCell ref="B68:C68"/>
    <mergeCell ref="B69:C69"/>
    <mergeCell ref="B71:C71"/>
    <mergeCell ref="B65:C65"/>
    <mergeCell ref="B66:C66"/>
    <mergeCell ref="B67:C67"/>
    <mergeCell ref="B75:C75"/>
    <mergeCell ref="B80:C80"/>
    <mergeCell ref="B81:C81"/>
    <mergeCell ref="B82:C82"/>
    <mergeCell ref="B77:C77"/>
    <mergeCell ref="B78:C78"/>
    <mergeCell ref="A79:C79"/>
    <mergeCell ref="B83:C83"/>
    <mergeCell ref="B84:C84"/>
    <mergeCell ref="B85:C85"/>
    <mergeCell ref="A86:C86"/>
    <mergeCell ref="B87:C87"/>
    <mergeCell ref="B88:C88"/>
    <mergeCell ref="B89:C89"/>
    <mergeCell ref="B90:C90"/>
    <mergeCell ref="B97:C97"/>
    <mergeCell ref="B98:C98"/>
    <mergeCell ref="A93:C93"/>
    <mergeCell ref="A91:C91"/>
    <mergeCell ref="B92:C92"/>
    <mergeCell ref="B94:C94"/>
    <mergeCell ref="B95:C95"/>
    <mergeCell ref="B96:C96"/>
    <mergeCell ref="B142:C142"/>
    <mergeCell ref="A100:C100"/>
    <mergeCell ref="B101:C101"/>
    <mergeCell ref="B102:C102"/>
    <mergeCell ref="B103:C103"/>
    <mergeCell ref="A132:A134"/>
    <mergeCell ref="A135:A136"/>
    <mergeCell ref="A137:A140"/>
    <mergeCell ref="B141:C141"/>
    <mergeCell ref="A121:A124"/>
    <mergeCell ref="B125:C125"/>
    <mergeCell ref="A126:C126"/>
    <mergeCell ref="A127:A131"/>
    <mergeCell ref="B104:C104"/>
    <mergeCell ref="B105:C105"/>
    <mergeCell ref="B106:C106"/>
    <mergeCell ref="A107:C107"/>
    <mergeCell ref="A108:C108"/>
    <mergeCell ref="A112:A119"/>
    <mergeCell ref="B224:C224"/>
    <mergeCell ref="B228:C228"/>
    <mergeCell ref="B229:C229"/>
    <mergeCell ref="B230:C230"/>
    <mergeCell ref="B261:C261"/>
    <mergeCell ref="B262:C262"/>
    <mergeCell ref="B263:C263"/>
    <mergeCell ref="B236:C236"/>
    <mergeCell ref="B247:C247"/>
    <mergeCell ref="B245:C245"/>
    <mergeCell ref="B250:C250"/>
    <mergeCell ref="B251:C251"/>
    <mergeCell ref="B253:C253"/>
    <mergeCell ref="B257:C257"/>
    <mergeCell ref="A277:C277"/>
    <mergeCell ref="B269:C269"/>
    <mergeCell ref="B274:C274"/>
    <mergeCell ref="B275:C275"/>
    <mergeCell ref="B272:C272"/>
    <mergeCell ref="B276:C276"/>
    <mergeCell ref="B264:C264"/>
    <mergeCell ref="A256:C256"/>
    <mergeCell ref="B258:C258"/>
    <mergeCell ref="B273:C273"/>
    <mergeCell ref="B271:C271"/>
    <mergeCell ref="B270:C270"/>
    <mergeCell ref="B259:C259"/>
    <mergeCell ref="B266:C266"/>
    <mergeCell ref="B260:C260"/>
    <mergeCell ref="A267:C267"/>
    <mergeCell ref="B268:C268"/>
    <mergeCell ref="B265:C265"/>
    <mergeCell ref="A312:C312"/>
    <mergeCell ref="B313:C313"/>
    <mergeCell ref="A311:C311"/>
    <mergeCell ref="A278:A283"/>
    <mergeCell ref="B310:C310"/>
    <mergeCell ref="B306:C306"/>
    <mergeCell ref="B309:C309"/>
    <mergeCell ref="A307:C307"/>
    <mergeCell ref="A223:C223"/>
    <mergeCell ref="A202:C202"/>
    <mergeCell ref="A204:C204"/>
    <mergeCell ref="B246:C246"/>
    <mergeCell ref="B239:C239"/>
    <mergeCell ref="B225:C225"/>
    <mergeCell ref="B221:C221"/>
    <mergeCell ref="B222:C222"/>
    <mergeCell ref="B226:C226"/>
    <mergeCell ref="B203:C203"/>
    <mergeCell ref="A304:C304"/>
    <mergeCell ref="A305:C305"/>
    <mergeCell ref="B308:C308"/>
    <mergeCell ref="A284:A303"/>
    <mergeCell ref="D161:D162"/>
    <mergeCell ref="D164:D168"/>
    <mergeCell ref="D170:D174"/>
    <mergeCell ref="D175:D178"/>
    <mergeCell ref="B252:C252"/>
    <mergeCell ref="B237:C237"/>
    <mergeCell ref="B235:C235"/>
    <mergeCell ref="B227:C227"/>
    <mergeCell ref="B232:C232"/>
    <mergeCell ref="B233:C233"/>
    <mergeCell ref="B234:C234"/>
    <mergeCell ref="B231:C231"/>
    <mergeCell ref="A25:C25"/>
    <mergeCell ref="A315:C315"/>
    <mergeCell ref="D284:D303"/>
    <mergeCell ref="D278:D283"/>
    <mergeCell ref="B249:C249"/>
    <mergeCell ref="B241:C241"/>
    <mergeCell ref="B248:C248"/>
    <mergeCell ref="B242:C242"/>
    <mergeCell ref="B243:C243"/>
    <mergeCell ref="B244:C244"/>
  </mergeCells>
  <printOptions horizontalCentered="1"/>
  <pageMargins left="0.4724409448818898" right="0.2362204724409449" top="0.7086614173228347" bottom="0.7874015748031497" header="0.5118110236220472" footer="0.5118110236220472"/>
  <pageSetup horizontalDpi="600" verticalDpi="600" orientation="portrait" paperSize="9" scale="61" r:id="rId1"/>
  <rowBreaks count="7" manualBreakCount="7">
    <brk id="30" max="3" man="1"/>
    <brk id="51" max="3" man="1"/>
    <brk id="78" max="3" man="1"/>
    <brk id="106" max="3" man="1"/>
    <brk id="151" max="3" man="1"/>
    <brk id="180" max="3" man="1"/>
    <brk id="276" max="3" man="1"/>
  </rowBreaks>
  <ignoredErrors>
    <ignoredError sqref="D137" formulaRange="1"/>
  </ignoredErrors>
</worksheet>
</file>

<file path=xl/worksheets/sheet13.xml><?xml version="1.0" encoding="utf-8"?>
<worksheet xmlns="http://schemas.openxmlformats.org/spreadsheetml/2006/main" xmlns:r="http://schemas.openxmlformats.org/officeDocument/2006/relationships">
  <sheetPr>
    <tabColor indexed="43"/>
  </sheetPr>
  <dimension ref="A1:N54"/>
  <sheetViews>
    <sheetView zoomScale="80" zoomScaleNormal="80" workbookViewId="0" topLeftCell="A1">
      <selection activeCell="A2" sqref="A1:IV16384"/>
    </sheetView>
  </sheetViews>
  <sheetFormatPr defaultColWidth="9.140625" defaultRowHeight="15" customHeight="1"/>
  <cols>
    <col min="1" max="1" width="9.140625" style="1104" customWidth="1"/>
    <col min="2" max="2" width="79.28125" style="1107" customWidth="1"/>
    <col min="3" max="4" width="11.421875" style="1108" customWidth="1"/>
    <col min="5" max="5" width="12.140625" style="1109" customWidth="1"/>
    <col min="6" max="6" width="11.421875" style="1109" hidden="1" customWidth="1"/>
    <col min="7" max="7" width="11.421875" style="1109" customWidth="1"/>
    <col min="8" max="9" width="13.00390625" style="1109" customWidth="1"/>
    <col min="10" max="10" width="15.8515625" style="1109" customWidth="1"/>
    <col min="11" max="12" width="11.421875" style="1109" customWidth="1"/>
    <col min="13" max="13" width="29.7109375" style="1107" customWidth="1"/>
    <col min="14" max="16384" width="10.28125" style="1104" customWidth="1"/>
  </cols>
  <sheetData>
    <row r="1" spans="2:14" ht="15" customHeight="1">
      <c r="B1" s="1105"/>
      <c r="C1" s="1105"/>
      <c r="D1" s="1105"/>
      <c r="E1" s="1105"/>
      <c r="F1" s="1105"/>
      <c r="G1" s="1105"/>
      <c r="H1" s="1105"/>
      <c r="I1" s="1105"/>
      <c r="J1" s="1105"/>
      <c r="K1" s="1105"/>
      <c r="L1" s="1105"/>
      <c r="M1" s="735" t="s">
        <v>31</v>
      </c>
      <c r="N1" s="733"/>
    </row>
    <row r="2" spans="2:13" ht="18.75" customHeight="1">
      <c r="B2" s="1802" t="s">
        <v>1356</v>
      </c>
      <c r="C2" s="1802"/>
      <c r="D2" s="1802"/>
      <c r="E2" s="1802"/>
      <c r="F2" s="1802"/>
      <c r="G2" s="1802"/>
      <c r="H2" s="1802"/>
      <c r="I2" s="1802"/>
      <c r="J2" s="1802"/>
      <c r="K2" s="1802"/>
      <c r="L2" s="1802"/>
      <c r="M2" s="1802"/>
    </row>
    <row r="3" spans="2:13" ht="18.75" customHeight="1">
      <c r="B3" s="1106"/>
      <c r="C3" s="1106"/>
      <c r="D3" s="1106"/>
      <c r="E3" s="1106"/>
      <c r="F3" s="1106"/>
      <c r="G3" s="1106"/>
      <c r="H3" s="1106"/>
      <c r="I3" s="1106"/>
      <c r="J3" s="1106"/>
      <c r="K3" s="1106"/>
      <c r="L3" s="1106"/>
      <c r="M3" s="1106"/>
    </row>
    <row r="4" spans="8:13" ht="25.5" customHeight="1">
      <c r="H4" s="1110"/>
      <c r="J4" s="1808" t="s">
        <v>384</v>
      </c>
      <c r="K4" s="1808"/>
      <c r="L4" s="1808"/>
      <c r="M4" s="1808"/>
    </row>
    <row r="5" spans="1:13" s="1105" customFormat="1" ht="20.25" customHeight="1">
      <c r="A5" s="1812" t="s">
        <v>172</v>
      </c>
      <c r="B5" s="1813"/>
      <c r="C5" s="1809" t="s">
        <v>357</v>
      </c>
      <c r="D5" s="1809" t="s">
        <v>358</v>
      </c>
      <c r="E5" s="1803" t="s">
        <v>359</v>
      </c>
      <c r="F5" s="1803" t="s">
        <v>360</v>
      </c>
      <c r="G5" s="1803" t="s">
        <v>638</v>
      </c>
      <c r="H5" s="1803" t="s">
        <v>361</v>
      </c>
      <c r="I5" s="1827" t="s">
        <v>362</v>
      </c>
      <c r="J5" s="1828"/>
      <c r="K5" s="1828"/>
      <c r="L5" s="1828"/>
      <c r="M5" s="1818" t="s">
        <v>363</v>
      </c>
    </row>
    <row r="6" spans="1:13" s="1105" customFormat="1" ht="20.25" customHeight="1">
      <c r="A6" s="1814"/>
      <c r="B6" s="1815"/>
      <c r="C6" s="1810"/>
      <c r="D6" s="1810"/>
      <c r="E6" s="1804"/>
      <c r="F6" s="1804"/>
      <c r="G6" s="1804"/>
      <c r="H6" s="1804"/>
      <c r="I6" s="1806" t="s">
        <v>364</v>
      </c>
      <c r="J6" s="1807" t="s">
        <v>365</v>
      </c>
      <c r="K6" s="1829" t="s">
        <v>366</v>
      </c>
      <c r="L6" s="1829"/>
      <c r="M6" s="1819"/>
    </row>
    <row r="7" spans="1:13" s="1105" customFormat="1" ht="15" customHeight="1">
      <c r="A7" s="1814"/>
      <c r="B7" s="1815"/>
      <c r="C7" s="1810"/>
      <c r="D7" s="1810"/>
      <c r="E7" s="1804"/>
      <c r="F7" s="1805"/>
      <c r="G7" s="1804"/>
      <c r="H7" s="1804"/>
      <c r="I7" s="1806"/>
      <c r="J7" s="1807"/>
      <c r="K7" s="1830" t="s">
        <v>367</v>
      </c>
      <c r="L7" s="1832" t="s">
        <v>828</v>
      </c>
      <c r="M7" s="1819"/>
    </row>
    <row r="8" spans="1:13" s="1105" customFormat="1" ht="20.25" customHeight="1">
      <c r="A8" s="1816"/>
      <c r="B8" s="1817"/>
      <c r="C8" s="1811"/>
      <c r="D8" s="1811"/>
      <c r="E8" s="1805"/>
      <c r="F8" s="1103"/>
      <c r="G8" s="1805"/>
      <c r="H8" s="1805"/>
      <c r="I8" s="1834" t="s">
        <v>166</v>
      </c>
      <c r="J8" s="1835"/>
      <c r="K8" s="1831"/>
      <c r="L8" s="1833"/>
      <c r="M8" s="1820"/>
    </row>
    <row r="9" spans="1:13" ht="23.25" customHeight="1">
      <c r="A9" s="1824" t="s">
        <v>1180</v>
      </c>
      <c r="B9" s="1825"/>
      <c r="C9" s="1825"/>
      <c r="D9" s="1825"/>
      <c r="E9" s="1825"/>
      <c r="F9" s="1825"/>
      <c r="G9" s="1825"/>
      <c r="H9" s="1825"/>
      <c r="I9" s="1825"/>
      <c r="J9" s="1825"/>
      <c r="K9" s="1825"/>
      <c r="L9" s="1825"/>
      <c r="M9" s="1826"/>
    </row>
    <row r="10" spans="1:13" ht="15">
      <c r="A10" s="1111" t="s">
        <v>194</v>
      </c>
      <c r="B10" s="1112" t="s">
        <v>567</v>
      </c>
      <c r="C10" s="1113" t="s">
        <v>1067</v>
      </c>
      <c r="D10" s="1113" t="s">
        <v>1171</v>
      </c>
      <c r="E10" s="1114">
        <v>3220000</v>
      </c>
      <c r="F10" s="1114"/>
      <c r="G10" s="1114">
        <v>51000</v>
      </c>
      <c r="H10" s="1114">
        <f aca="true" t="shared" si="0" ref="H10:H50">E10-F10-G10</f>
        <v>3169000</v>
      </c>
      <c r="I10" s="1114">
        <v>1400000</v>
      </c>
      <c r="J10" s="1114">
        <f>E10-I10</f>
        <v>1820000</v>
      </c>
      <c r="K10" s="1114"/>
      <c r="L10" s="1114">
        <v>51000</v>
      </c>
      <c r="M10" s="1132" t="s">
        <v>692</v>
      </c>
    </row>
    <row r="11" spans="1:13" ht="15">
      <c r="A11" s="1111" t="s">
        <v>196</v>
      </c>
      <c r="B11" s="1112" t="s">
        <v>568</v>
      </c>
      <c r="C11" s="1113" t="s">
        <v>1067</v>
      </c>
      <c r="D11" s="1113" t="s">
        <v>748</v>
      </c>
      <c r="E11" s="1114">
        <v>1800000</v>
      </c>
      <c r="F11" s="1114"/>
      <c r="G11" s="1114">
        <v>18950</v>
      </c>
      <c r="H11" s="1114">
        <f t="shared" si="0"/>
        <v>1781050</v>
      </c>
      <c r="I11" s="1114">
        <v>1227000</v>
      </c>
      <c r="J11" s="1114">
        <v>573000</v>
      </c>
      <c r="K11" s="1114"/>
      <c r="L11" s="1114">
        <v>18950</v>
      </c>
      <c r="M11" s="1132" t="s">
        <v>693</v>
      </c>
    </row>
    <row r="12" spans="1:13" ht="15">
      <c r="A12" s="1111" t="s">
        <v>257</v>
      </c>
      <c r="B12" s="1250" t="s">
        <v>1488</v>
      </c>
      <c r="C12" s="1113" t="s">
        <v>1067</v>
      </c>
      <c r="D12" s="1113" t="s">
        <v>1067</v>
      </c>
      <c r="E12" s="1114">
        <v>132000</v>
      </c>
      <c r="F12" s="1114"/>
      <c r="G12" s="1114">
        <v>132000</v>
      </c>
      <c r="H12" s="1114">
        <f t="shared" si="0"/>
        <v>0</v>
      </c>
      <c r="I12" s="1114">
        <v>92000</v>
      </c>
      <c r="J12" s="1114">
        <v>40000</v>
      </c>
      <c r="K12" s="1114">
        <v>92000</v>
      </c>
      <c r="L12" s="1114">
        <v>40000</v>
      </c>
      <c r="M12" s="1132"/>
    </row>
    <row r="13" spans="1:13" ht="15">
      <c r="A13" s="1111" t="s">
        <v>1345</v>
      </c>
      <c r="B13" s="1112" t="s">
        <v>346</v>
      </c>
      <c r="C13" s="1113" t="s">
        <v>1067</v>
      </c>
      <c r="D13" s="1113" t="s">
        <v>748</v>
      </c>
      <c r="E13" s="1114">
        <v>273000</v>
      </c>
      <c r="F13" s="1114"/>
      <c r="G13" s="1114">
        <v>46700</v>
      </c>
      <c r="H13" s="1114">
        <f t="shared" si="0"/>
        <v>226300</v>
      </c>
      <c r="I13" s="1114">
        <v>191000</v>
      </c>
      <c r="J13" s="1114">
        <v>82000</v>
      </c>
      <c r="K13" s="1114">
        <v>32690</v>
      </c>
      <c r="L13" s="1114">
        <v>14010</v>
      </c>
      <c r="M13" s="1132"/>
    </row>
    <row r="14" spans="1:13" ht="17.25" customHeight="1">
      <c r="A14" s="1111" t="s">
        <v>293</v>
      </c>
      <c r="B14" s="1112" t="s">
        <v>569</v>
      </c>
      <c r="C14" s="1113" t="s">
        <v>1067</v>
      </c>
      <c r="D14" s="1113" t="s">
        <v>748</v>
      </c>
      <c r="E14" s="1114">
        <v>56779</v>
      </c>
      <c r="F14" s="1114"/>
      <c r="G14" s="1114">
        <v>56779</v>
      </c>
      <c r="H14" s="1114">
        <f t="shared" si="0"/>
        <v>0</v>
      </c>
      <c r="I14" s="1114">
        <v>50150</v>
      </c>
      <c r="J14" s="1114">
        <v>6629</v>
      </c>
      <c r="K14" s="1114">
        <v>50150</v>
      </c>
      <c r="L14" s="1114">
        <v>6629</v>
      </c>
      <c r="M14" s="1132" t="s">
        <v>694</v>
      </c>
    </row>
    <row r="15" spans="1:13" ht="15">
      <c r="A15" s="1111" t="s">
        <v>1058</v>
      </c>
      <c r="B15" s="1112" t="s">
        <v>570</v>
      </c>
      <c r="C15" s="1113" t="s">
        <v>1067</v>
      </c>
      <c r="D15" s="1113" t="s">
        <v>1067</v>
      </c>
      <c r="E15" s="1114">
        <v>62337</v>
      </c>
      <c r="F15" s="1114"/>
      <c r="G15" s="1114">
        <v>62337</v>
      </c>
      <c r="H15" s="1114">
        <f t="shared" si="0"/>
        <v>0</v>
      </c>
      <c r="I15" s="1114">
        <v>52900</v>
      </c>
      <c r="J15" s="1114">
        <v>9437</v>
      </c>
      <c r="K15" s="1114">
        <v>52900</v>
      </c>
      <c r="L15" s="1114">
        <v>9437</v>
      </c>
      <c r="M15" s="1132" t="s">
        <v>695</v>
      </c>
    </row>
    <row r="16" spans="1:13" ht="15">
      <c r="A16" s="1111" t="s">
        <v>1060</v>
      </c>
      <c r="B16" s="1112" t="s">
        <v>571</v>
      </c>
      <c r="C16" s="1113" t="s">
        <v>1067</v>
      </c>
      <c r="D16" s="1113" t="s">
        <v>1171</v>
      </c>
      <c r="E16" s="1114">
        <v>636000</v>
      </c>
      <c r="F16" s="1114"/>
      <c r="G16" s="1114">
        <v>36000</v>
      </c>
      <c r="H16" s="1114">
        <f t="shared" si="0"/>
        <v>600000</v>
      </c>
      <c r="I16" s="1114">
        <v>630600</v>
      </c>
      <c r="J16" s="1114">
        <v>5400</v>
      </c>
      <c r="K16" s="1114">
        <f aca="true" t="shared" si="1" ref="K16:K29">G16-L16</f>
        <v>30600</v>
      </c>
      <c r="L16" s="1114">
        <v>5400</v>
      </c>
      <c r="M16" s="1132" t="s">
        <v>696</v>
      </c>
    </row>
    <row r="17" spans="1:13" ht="15">
      <c r="A17" s="1111" t="s">
        <v>295</v>
      </c>
      <c r="B17" s="1112" t="s">
        <v>572</v>
      </c>
      <c r="C17" s="1113" t="s">
        <v>1067</v>
      </c>
      <c r="D17" s="1113" t="s">
        <v>1171</v>
      </c>
      <c r="E17" s="1114">
        <v>343688</v>
      </c>
      <c r="F17" s="1114">
        <v>0</v>
      </c>
      <c r="G17" s="1114">
        <v>200000</v>
      </c>
      <c r="H17" s="1114">
        <f t="shared" si="0"/>
        <v>143688</v>
      </c>
      <c r="I17" s="1114">
        <v>309319</v>
      </c>
      <c r="J17" s="1114">
        <v>34369</v>
      </c>
      <c r="K17" s="1114">
        <f t="shared" si="1"/>
        <v>180000</v>
      </c>
      <c r="L17" s="1114">
        <v>20000</v>
      </c>
      <c r="M17" s="1133" t="s">
        <v>697</v>
      </c>
    </row>
    <row r="18" spans="1:13" ht="30">
      <c r="A18" s="1115" t="s">
        <v>297</v>
      </c>
      <c r="B18" s="1073" t="s">
        <v>610</v>
      </c>
      <c r="C18" s="1113" t="s">
        <v>1067</v>
      </c>
      <c r="D18" s="1113" t="s">
        <v>1171</v>
      </c>
      <c r="E18" s="1114">
        <v>515433</v>
      </c>
      <c r="F18" s="1114">
        <v>0</v>
      </c>
      <c r="G18" s="1114">
        <v>300000</v>
      </c>
      <c r="H18" s="1114">
        <f t="shared" si="0"/>
        <v>215433</v>
      </c>
      <c r="I18" s="1114">
        <v>463890</v>
      </c>
      <c r="J18" s="1114">
        <v>51543</v>
      </c>
      <c r="K18" s="1114">
        <f t="shared" si="1"/>
        <v>270000</v>
      </c>
      <c r="L18" s="1114">
        <v>30000</v>
      </c>
      <c r="M18" s="1133" t="s">
        <v>698</v>
      </c>
    </row>
    <row r="19" spans="1:13" ht="15">
      <c r="A19" s="1115" t="s">
        <v>298</v>
      </c>
      <c r="B19" s="1073" t="s">
        <v>611</v>
      </c>
      <c r="C19" s="1113" t="s">
        <v>1067</v>
      </c>
      <c r="D19" s="1113" t="s">
        <v>1171</v>
      </c>
      <c r="E19" s="1114">
        <v>336880</v>
      </c>
      <c r="F19" s="1114">
        <v>0</v>
      </c>
      <c r="G19" s="1114">
        <v>200000</v>
      </c>
      <c r="H19" s="1114">
        <f t="shared" si="0"/>
        <v>136880</v>
      </c>
      <c r="I19" s="1114">
        <v>303192</v>
      </c>
      <c r="J19" s="1114">
        <v>33688</v>
      </c>
      <c r="K19" s="1114">
        <f t="shared" si="1"/>
        <v>180000</v>
      </c>
      <c r="L19" s="1114">
        <v>20000</v>
      </c>
      <c r="M19" s="1133" t="s">
        <v>699</v>
      </c>
    </row>
    <row r="20" spans="1:13" ht="15">
      <c r="A20" s="1111" t="s">
        <v>300</v>
      </c>
      <c r="B20" s="1112" t="s">
        <v>612</v>
      </c>
      <c r="C20" s="1113" t="s">
        <v>1067</v>
      </c>
      <c r="D20" s="1113" t="s">
        <v>748</v>
      </c>
      <c r="E20" s="1114">
        <v>550460</v>
      </c>
      <c r="F20" s="1114">
        <v>0</v>
      </c>
      <c r="G20" s="1114">
        <v>300000</v>
      </c>
      <c r="H20" s="1114">
        <f t="shared" si="0"/>
        <v>250460</v>
      </c>
      <c r="I20" s="1114">
        <v>495414</v>
      </c>
      <c r="J20" s="1114">
        <v>55046</v>
      </c>
      <c r="K20" s="1114">
        <f t="shared" si="1"/>
        <v>270000</v>
      </c>
      <c r="L20" s="1114">
        <v>30000</v>
      </c>
      <c r="M20" s="1133" t="s">
        <v>700</v>
      </c>
    </row>
    <row r="21" spans="1:13" ht="17.25" customHeight="1">
      <c r="A21" s="1115" t="s">
        <v>304</v>
      </c>
      <c r="B21" s="1073" t="s">
        <v>972</v>
      </c>
      <c r="C21" s="1113" t="s">
        <v>1067</v>
      </c>
      <c r="D21" s="1113" t="s">
        <v>748</v>
      </c>
      <c r="E21" s="1114">
        <v>555550</v>
      </c>
      <c r="F21" s="1114">
        <v>0</v>
      </c>
      <c r="G21" s="1114">
        <v>300000</v>
      </c>
      <c r="H21" s="1114">
        <f t="shared" si="0"/>
        <v>255550</v>
      </c>
      <c r="I21" s="1114">
        <v>499995</v>
      </c>
      <c r="J21" s="1114">
        <v>55555</v>
      </c>
      <c r="K21" s="1114">
        <f t="shared" si="1"/>
        <v>270000</v>
      </c>
      <c r="L21" s="1114">
        <v>30000</v>
      </c>
      <c r="M21" s="1133" t="s">
        <v>701</v>
      </c>
    </row>
    <row r="22" spans="1:13" ht="15">
      <c r="A22" s="1111" t="s">
        <v>1441</v>
      </c>
      <c r="B22" s="1112" t="s">
        <v>573</v>
      </c>
      <c r="C22" s="1113" t="s">
        <v>1067</v>
      </c>
      <c r="D22" s="1113" t="s">
        <v>748</v>
      </c>
      <c r="E22" s="1114">
        <v>463659</v>
      </c>
      <c r="F22" s="1114">
        <v>0</v>
      </c>
      <c r="G22" s="1114">
        <v>250000</v>
      </c>
      <c r="H22" s="1114">
        <f t="shared" si="0"/>
        <v>213659</v>
      </c>
      <c r="I22" s="1114">
        <v>417293</v>
      </c>
      <c r="J22" s="1114">
        <v>46366</v>
      </c>
      <c r="K22" s="1114">
        <f t="shared" si="1"/>
        <v>225000</v>
      </c>
      <c r="L22" s="1114">
        <v>25000</v>
      </c>
      <c r="M22" s="1133" t="s">
        <v>702</v>
      </c>
    </row>
    <row r="23" spans="1:13" ht="15">
      <c r="A23" s="1111" t="s">
        <v>307</v>
      </c>
      <c r="B23" s="1112" t="s">
        <v>574</v>
      </c>
      <c r="C23" s="1113" t="s">
        <v>1067</v>
      </c>
      <c r="D23" s="1113" t="s">
        <v>1171</v>
      </c>
      <c r="E23" s="1114">
        <v>555556</v>
      </c>
      <c r="F23" s="1114">
        <v>0</v>
      </c>
      <c r="G23" s="1114">
        <v>300000</v>
      </c>
      <c r="H23" s="1114">
        <f t="shared" si="0"/>
        <v>255556</v>
      </c>
      <c r="I23" s="1114">
        <v>500000</v>
      </c>
      <c r="J23" s="1114">
        <v>55556</v>
      </c>
      <c r="K23" s="1114">
        <f t="shared" si="1"/>
        <v>270000</v>
      </c>
      <c r="L23" s="1114">
        <v>30000</v>
      </c>
      <c r="M23" s="1133" t="s">
        <v>703</v>
      </c>
    </row>
    <row r="24" spans="1:13" ht="15">
      <c r="A24" s="1111" t="s">
        <v>312</v>
      </c>
      <c r="B24" s="1112" t="s">
        <v>613</v>
      </c>
      <c r="C24" s="1113" t="s">
        <v>1067</v>
      </c>
      <c r="D24" s="1113" t="s">
        <v>748</v>
      </c>
      <c r="E24" s="1114">
        <v>423078</v>
      </c>
      <c r="F24" s="1114">
        <v>0</v>
      </c>
      <c r="G24" s="1114">
        <v>223078</v>
      </c>
      <c r="H24" s="1114">
        <f t="shared" si="0"/>
        <v>200000</v>
      </c>
      <c r="I24" s="1114">
        <v>380770</v>
      </c>
      <c r="J24" s="1114">
        <v>42308</v>
      </c>
      <c r="K24" s="1114">
        <f t="shared" si="1"/>
        <v>200770</v>
      </c>
      <c r="L24" s="1114">
        <v>22308</v>
      </c>
      <c r="M24" s="1133" t="s">
        <v>704</v>
      </c>
    </row>
    <row r="25" spans="1:13" ht="30">
      <c r="A25" s="1115" t="s">
        <v>314</v>
      </c>
      <c r="B25" s="1073" t="s">
        <v>609</v>
      </c>
      <c r="C25" s="1113" t="s">
        <v>1067</v>
      </c>
      <c r="D25" s="1113" t="s">
        <v>1067</v>
      </c>
      <c r="E25" s="1114">
        <v>10567</v>
      </c>
      <c r="F25" s="1114"/>
      <c r="G25" s="1114">
        <v>10567</v>
      </c>
      <c r="H25" s="1114">
        <f t="shared" si="0"/>
        <v>0</v>
      </c>
      <c r="I25" s="1114">
        <v>8982</v>
      </c>
      <c r="J25" s="1114">
        <v>1585</v>
      </c>
      <c r="K25" s="1114">
        <f t="shared" si="1"/>
        <v>8982</v>
      </c>
      <c r="L25" s="1114">
        <v>1585</v>
      </c>
      <c r="M25" s="1133" t="s">
        <v>705</v>
      </c>
    </row>
    <row r="26" spans="1:13" ht="15">
      <c r="A26" s="1111" t="s">
        <v>1507</v>
      </c>
      <c r="B26" s="1112" t="s">
        <v>608</v>
      </c>
      <c r="C26" s="1113" t="s">
        <v>1067</v>
      </c>
      <c r="D26" s="1113" t="s">
        <v>1067</v>
      </c>
      <c r="E26" s="1114">
        <v>46780</v>
      </c>
      <c r="F26" s="1114">
        <v>0</v>
      </c>
      <c r="G26" s="1114">
        <v>46780</v>
      </c>
      <c r="H26" s="1114">
        <f t="shared" si="0"/>
        <v>0</v>
      </c>
      <c r="I26" s="1114">
        <v>25000</v>
      </c>
      <c r="J26" s="1114">
        <v>21780</v>
      </c>
      <c r="K26" s="1114">
        <f t="shared" si="1"/>
        <v>25000</v>
      </c>
      <c r="L26" s="1114">
        <f>20749+1031</f>
        <v>21780</v>
      </c>
      <c r="M26" s="1133" t="s">
        <v>706</v>
      </c>
    </row>
    <row r="27" spans="1:13" ht="15">
      <c r="A27" s="1111" t="s">
        <v>1442</v>
      </c>
      <c r="B27" s="1112" t="s">
        <v>614</v>
      </c>
      <c r="C27" s="1113" t="s">
        <v>1067</v>
      </c>
      <c r="D27" s="1113" t="s">
        <v>1067</v>
      </c>
      <c r="E27" s="1114">
        <v>34579</v>
      </c>
      <c r="F27" s="1114">
        <v>0</v>
      </c>
      <c r="G27" s="1114">
        <v>34579</v>
      </c>
      <c r="H27" s="1114">
        <f t="shared" si="0"/>
        <v>0</v>
      </c>
      <c r="I27" s="1114">
        <v>25000</v>
      </c>
      <c r="J27" s="1114">
        <v>9579</v>
      </c>
      <c r="K27" s="1114">
        <f t="shared" si="1"/>
        <v>25000</v>
      </c>
      <c r="L27" s="1114">
        <f>8803+776</f>
        <v>9579</v>
      </c>
      <c r="M27" s="1133" t="s">
        <v>707</v>
      </c>
    </row>
    <row r="28" spans="1:13" ht="15">
      <c r="A28" s="1111" t="s">
        <v>1443</v>
      </c>
      <c r="B28" s="1112" t="s">
        <v>492</v>
      </c>
      <c r="C28" s="1113" t="s">
        <v>1067</v>
      </c>
      <c r="D28" s="1113" t="s">
        <v>1067</v>
      </c>
      <c r="E28" s="1114">
        <v>8696</v>
      </c>
      <c r="F28" s="1114">
        <v>0</v>
      </c>
      <c r="G28" s="1114">
        <v>8696</v>
      </c>
      <c r="H28" s="1114">
        <f t="shared" si="0"/>
        <v>0</v>
      </c>
      <c r="I28" s="1114">
        <v>7598</v>
      </c>
      <c r="J28" s="1114">
        <v>1098</v>
      </c>
      <c r="K28" s="1114">
        <f t="shared" si="1"/>
        <v>7598</v>
      </c>
      <c r="L28" s="1114">
        <v>1098</v>
      </c>
      <c r="M28" s="1133" t="s">
        <v>708</v>
      </c>
    </row>
    <row r="29" spans="1:13" ht="15" customHeight="1">
      <c r="A29" s="1115" t="s">
        <v>1444</v>
      </c>
      <c r="B29" s="1074" t="s">
        <v>1209</v>
      </c>
      <c r="C29" s="1113" t="s">
        <v>1067</v>
      </c>
      <c r="D29" s="1113" t="s">
        <v>1067</v>
      </c>
      <c r="E29" s="1114">
        <v>33973</v>
      </c>
      <c r="F29" s="1114">
        <v>0</v>
      </c>
      <c r="G29" s="1114">
        <v>33973</v>
      </c>
      <c r="H29" s="1114">
        <f t="shared" si="0"/>
        <v>0</v>
      </c>
      <c r="I29" s="1114">
        <v>25000</v>
      </c>
      <c r="J29" s="1114">
        <v>8973</v>
      </c>
      <c r="K29" s="1114">
        <f t="shared" si="1"/>
        <v>25000</v>
      </c>
      <c r="L29" s="1114">
        <v>8973</v>
      </c>
      <c r="M29" s="1133" t="s">
        <v>709</v>
      </c>
    </row>
    <row r="30" spans="1:13" ht="15">
      <c r="A30" s="1111" t="s">
        <v>1445</v>
      </c>
      <c r="B30" s="1112" t="s">
        <v>615</v>
      </c>
      <c r="C30" s="1113" t="s">
        <v>1067</v>
      </c>
      <c r="D30" s="1113" t="s">
        <v>1067</v>
      </c>
      <c r="E30" s="1114">
        <v>55000</v>
      </c>
      <c r="F30" s="1114"/>
      <c r="G30" s="1114">
        <v>55000</v>
      </c>
      <c r="H30" s="1114">
        <f t="shared" si="0"/>
        <v>0</v>
      </c>
      <c r="I30" s="1114">
        <v>27500</v>
      </c>
      <c r="J30" s="1114">
        <v>27500</v>
      </c>
      <c r="K30" s="1114">
        <v>27500</v>
      </c>
      <c r="L30" s="1114">
        <v>27500</v>
      </c>
      <c r="M30" s="1133"/>
    </row>
    <row r="31" spans="1:13" s="1118" customFormat="1" ht="15">
      <c r="A31" s="1111" t="s">
        <v>1446</v>
      </c>
      <c r="B31" s="1112" t="s">
        <v>547</v>
      </c>
      <c r="C31" s="1116" t="s">
        <v>1067</v>
      </c>
      <c r="D31" s="1116" t="s">
        <v>1067</v>
      </c>
      <c r="E31" s="1117">
        <v>67000</v>
      </c>
      <c r="F31" s="1117"/>
      <c r="G31" s="1117">
        <v>67000</v>
      </c>
      <c r="H31" s="1114">
        <f t="shared" si="0"/>
        <v>0</v>
      </c>
      <c r="I31" s="1117">
        <v>60000</v>
      </c>
      <c r="J31" s="1117">
        <v>7000</v>
      </c>
      <c r="K31" s="1117">
        <v>60000</v>
      </c>
      <c r="L31" s="1117">
        <v>7000</v>
      </c>
      <c r="M31" s="1133"/>
    </row>
    <row r="32" spans="1:13" s="1118" customFormat="1" ht="15">
      <c r="A32" s="1111" t="s">
        <v>1447</v>
      </c>
      <c r="B32" s="1112" t="s">
        <v>495</v>
      </c>
      <c r="C32" s="1116" t="s">
        <v>1067</v>
      </c>
      <c r="D32" s="1116" t="s">
        <v>1067</v>
      </c>
      <c r="E32" s="1117">
        <v>22500</v>
      </c>
      <c r="F32" s="1117"/>
      <c r="G32" s="1117">
        <v>22500</v>
      </c>
      <c r="H32" s="1114">
        <f t="shared" si="0"/>
        <v>0</v>
      </c>
      <c r="I32" s="1117">
        <v>20250</v>
      </c>
      <c r="J32" s="1117">
        <v>2250</v>
      </c>
      <c r="K32" s="1117">
        <v>20250</v>
      </c>
      <c r="L32" s="1117">
        <v>2250</v>
      </c>
      <c r="M32" s="1133"/>
    </row>
    <row r="33" spans="1:13" s="1118" customFormat="1" ht="15">
      <c r="A33" s="1111" t="s">
        <v>1448</v>
      </c>
      <c r="B33" s="1112" t="s">
        <v>548</v>
      </c>
      <c r="C33" s="1116" t="s">
        <v>1067</v>
      </c>
      <c r="D33" s="1116" t="s">
        <v>1171</v>
      </c>
      <c r="E33" s="1117">
        <v>278000</v>
      </c>
      <c r="F33" s="1117"/>
      <c r="G33" s="1117">
        <v>14000</v>
      </c>
      <c r="H33" s="1114">
        <f t="shared" si="0"/>
        <v>264000</v>
      </c>
      <c r="I33" s="1117">
        <v>250000</v>
      </c>
      <c r="J33" s="1117">
        <v>28000</v>
      </c>
      <c r="K33" s="1117"/>
      <c r="L33" s="1117">
        <v>14000</v>
      </c>
      <c r="M33" s="1133"/>
    </row>
    <row r="34" spans="1:13" s="1118" customFormat="1" ht="15">
      <c r="A34" s="1111" t="s">
        <v>1449</v>
      </c>
      <c r="B34" s="1119" t="s">
        <v>1210</v>
      </c>
      <c r="C34" s="1116" t="s">
        <v>1067</v>
      </c>
      <c r="D34" s="1113" t="s">
        <v>748</v>
      </c>
      <c r="E34" s="1117">
        <v>700000</v>
      </c>
      <c r="F34" s="1117"/>
      <c r="G34" s="1117">
        <v>200000</v>
      </c>
      <c r="H34" s="1114">
        <f t="shared" si="0"/>
        <v>500000</v>
      </c>
      <c r="I34" s="1117">
        <v>300000</v>
      </c>
      <c r="J34" s="1117">
        <v>400000</v>
      </c>
      <c r="K34" s="1117">
        <v>85700</v>
      </c>
      <c r="L34" s="1117">
        <v>114300</v>
      </c>
      <c r="M34" s="1134"/>
    </row>
    <row r="35" spans="1:13" s="1118" customFormat="1" ht="15">
      <c r="A35" s="1111" t="s">
        <v>1450</v>
      </c>
      <c r="B35" s="1119" t="s">
        <v>493</v>
      </c>
      <c r="C35" s="1116" t="s">
        <v>1067</v>
      </c>
      <c r="D35" s="1116" t="s">
        <v>1067</v>
      </c>
      <c r="E35" s="1117">
        <v>4000</v>
      </c>
      <c r="F35" s="1117"/>
      <c r="G35" s="1117">
        <v>4000</v>
      </c>
      <c r="H35" s="1114">
        <f t="shared" si="0"/>
        <v>0</v>
      </c>
      <c r="I35" s="1117"/>
      <c r="J35" s="1117">
        <v>4000</v>
      </c>
      <c r="K35" s="1117"/>
      <c r="L35" s="1117">
        <v>4000</v>
      </c>
      <c r="M35" s="1133"/>
    </row>
    <row r="36" spans="1:13" s="1118" customFormat="1" ht="15">
      <c r="A36" s="1111" t="s">
        <v>1451</v>
      </c>
      <c r="B36" s="1119" t="s">
        <v>564</v>
      </c>
      <c r="C36" s="1116" t="s">
        <v>1067</v>
      </c>
      <c r="D36" s="1116" t="s">
        <v>1067</v>
      </c>
      <c r="E36" s="1117">
        <v>4000</v>
      </c>
      <c r="F36" s="1117"/>
      <c r="G36" s="1117">
        <v>4000</v>
      </c>
      <c r="H36" s="1114">
        <f t="shared" si="0"/>
        <v>0</v>
      </c>
      <c r="I36" s="1117"/>
      <c r="J36" s="1117">
        <v>4000</v>
      </c>
      <c r="K36" s="1117"/>
      <c r="L36" s="1117">
        <v>4000</v>
      </c>
      <c r="M36" s="1133"/>
    </row>
    <row r="37" spans="1:13" s="1118" customFormat="1" ht="15">
      <c r="A37" s="1111" t="s">
        <v>1452</v>
      </c>
      <c r="B37" s="1119" t="s">
        <v>494</v>
      </c>
      <c r="C37" s="1116" t="s">
        <v>1067</v>
      </c>
      <c r="D37" s="1116" t="s">
        <v>1067</v>
      </c>
      <c r="E37" s="1117">
        <v>24000</v>
      </c>
      <c r="F37" s="1117"/>
      <c r="G37" s="1117">
        <v>24000</v>
      </c>
      <c r="H37" s="1114">
        <f t="shared" si="0"/>
        <v>0</v>
      </c>
      <c r="I37" s="1117"/>
      <c r="J37" s="1117">
        <v>24000</v>
      </c>
      <c r="K37" s="1117"/>
      <c r="L37" s="1117">
        <v>24000</v>
      </c>
      <c r="M37" s="1133"/>
    </row>
    <row r="38" spans="1:13" s="1118" customFormat="1" ht="15">
      <c r="A38" s="1111" t="s">
        <v>1453</v>
      </c>
      <c r="B38" s="1112" t="s">
        <v>565</v>
      </c>
      <c r="C38" s="1116" t="s">
        <v>1067</v>
      </c>
      <c r="D38" s="1116" t="s">
        <v>549</v>
      </c>
      <c r="E38" s="1117">
        <f>2350000*250/1000</f>
        <v>587500</v>
      </c>
      <c r="F38" s="1117"/>
      <c r="G38" s="1117">
        <v>22031</v>
      </c>
      <c r="H38" s="1114">
        <f t="shared" si="0"/>
        <v>565469</v>
      </c>
      <c r="I38" s="1117">
        <f>1997500*250/1000</f>
        <v>499375</v>
      </c>
      <c r="J38" s="1117">
        <f>352500*250/1000</f>
        <v>88125</v>
      </c>
      <c r="K38" s="1117"/>
      <c r="L38" s="1117">
        <f>J38/4</f>
        <v>22031.25</v>
      </c>
      <c r="M38" s="1133" t="s">
        <v>710</v>
      </c>
    </row>
    <row r="39" spans="1:13" s="1118" customFormat="1" ht="30">
      <c r="A39" s="1111" t="s">
        <v>1454</v>
      </c>
      <c r="B39" s="1120" t="s">
        <v>498</v>
      </c>
      <c r="C39" s="1116" t="s">
        <v>1067</v>
      </c>
      <c r="D39" s="1116" t="s">
        <v>1171</v>
      </c>
      <c r="E39" s="1117">
        <v>123200</v>
      </c>
      <c r="F39" s="1117">
        <v>0</v>
      </c>
      <c r="G39" s="1117">
        <v>2500</v>
      </c>
      <c r="H39" s="1114">
        <f t="shared" si="0"/>
        <v>120700</v>
      </c>
      <c r="I39" s="1117">
        <v>100000</v>
      </c>
      <c r="J39" s="1117">
        <v>23200</v>
      </c>
      <c r="K39" s="1117">
        <v>0</v>
      </c>
      <c r="L39" s="1117">
        <v>2500</v>
      </c>
      <c r="M39" s="705"/>
    </row>
    <row r="40" spans="1:13" s="1118" customFormat="1" ht="30">
      <c r="A40" s="1111" t="s">
        <v>1455</v>
      </c>
      <c r="B40" s="1120" t="s">
        <v>497</v>
      </c>
      <c r="C40" s="1116" t="s">
        <v>1067</v>
      </c>
      <c r="D40" s="1116" t="s">
        <v>1171</v>
      </c>
      <c r="E40" s="1117">
        <v>87300</v>
      </c>
      <c r="F40" s="1117">
        <v>0</v>
      </c>
      <c r="G40" s="1117">
        <v>1800</v>
      </c>
      <c r="H40" s="1114">
        <f t="shared" si="0"/>
        <v>85500</v>
      </c>
      <c r="I40" s="1117">
        <v>78570</v>
      </c>
      <c r="J40" s="1117">
        <v>8730</v>
      </c>
      <c r="K40" s="1117">
        <v>0</v>
      </c>
      <c r="L40" s="1117">
        <v>1800</v>
      </c>
      <c r="M40" s="705"/>
    </row>
    <row r="41" spans="1:13" s="1118" customFormat="1" ht="30">
      <c r="A41" s="1111" t="s">
        <v>1456</v>
      </c>
      <c r="B41" s="1120" t="s">
        <v>496</v>
      </c>
      <c r="C41" s="1116" t="s">
        <v>1067</v>
      </c>
      <c r="D41" s="1116" t="s">
        <v>748</v>
      </c>
      <c r="E41" s="1117">
        <v>120000</v>
      </c>
      <c r="F41" s="1117">
        <v>0</v>
      </c>
      <c r="G41" s="1117">
        <v>3000</v>
      </c>
      <c r="H41" s="1114">
        <f t="shared" si="0"/>
        <v>117000</v>
      </c>
      <c r="I41" s="1117">
        <v>100000</v>
      </c>
      <c r="J41" s="1117">
        <v>20000</v>
      </c>
      <c r="K41" s="1117">
        <v>0</v>
      </c>
      <c r="L41" s="1117">
        <v>3000</v>
      </c>
      <c r="M41" s="705"/>
    </row>
    <row r="42" spans="1:13" s="1118" customFormat="1" ht="30">
      <c r="A42" s="1111" t="s">
        <v>1457</v>
      </c>
      <c r="B42" s="1120" t="s">
        <v>499</v>
      </c>
      <c r="C42" s="1116" t="s">
        <v>1067</v>
      </c>
      <c r="D42" s="1116" t="s">
        <v>748</v>
      </c>
      <c r="E42" s="1117">
        <v>350000</v>
      </c>
      <c r="F42" s="1117">
        <v>0</v>
      </c>
      <c r="G42" s="1117">
        <v>10000</v>
      </c>
      <c r="H42" s="1114">
        <f t="shared" si="0"/>
        <v>340000</v>
      </c>
      <c r="I42" s="1117">
        <v>263000</v>
      </c>
      <c r="J42" s="1117">
        <v>87000</v>
      </c>
      <c r="K42" s="1117">
        <v>0</v>
      </c>
      <c r="L42" s="1117">
        <v>10000</v>
      </c>
      <c r="M42" s="705"/>
    </row>
    <row r="43" spans="1:13" s="1118" customFormat="1" ht="30">
      <c r="A43" s="1111" t="s">
        <v>1458</v>
      </c>
      <c r="B43" s="1120" t="s">
        <v>689</v>
      </c>
      <c r="C43" s="1116" t="s">
        <v>1067</v>
      </c>
      <c r="D43" s="1116" t="s">
        <v>1067</v>
      </c>
      <c r="E43" s="1117">
        <v>19000</v>
      </c>
      <c r="F43" s="1117"/>
      <c r="G43" s="1117">
        <v>19000</v>
      </c>
      <c r="H43" s="1114">
        <f t="shared" si="0"/>
        <v>0</v>
      </c>
      <c r="I43" s="1117"/>
      <c r="J43" s="1117">
        <v>19000</v>
      </c>
      <c r="K43" s="1117"/>
      <c r="L43" s="1117">
        <v>19000</v>
      </c>
      <c r="M43" s="705"/>
    </row>
    <row r="44" spans="1:13" s="1118" customFormat="1" ht="30">
      <c r="A44" s="1111" t="s">
        <v>1459</v>
      </c>
      <c r="B44" s="1120" t="s">
        <v>500</v>
      </c>
      <c r="C44" s="1116" t="s">
        <v>1067</v>
      </c>
      <c r="D44" s="1116" t="s">
        <v>748</v>
      </c>
      <c r="E44" s="1117">
        <v>1750000</v>
      </c>
      <c r="F44" s="1117">
        <v>0</v>
      </c>
      <c r="G44" s="1117">
        <v>20000</v>
      </c>
      <c r="H44" s="1114">
        <f t="shared" si="0"/>
        <v>1730000</v>
      </c>
      <c r="I44" s="1117">
        <v>1680000</v>
      </c>
      <c r="J44" s="1117">
        <v>70000</v>
      </c>
      <c r="K44" s="1117">
        <v>0</v>
      </c>
      <c r="L44" s="1117">
        <v>20000</v>
      </c>
      <c r="M44" s="705"/>
    </row>
    <row r="45" spans="1:13" s="1118" customFormat="1" ht="30">
      <c r="A45" s="1111" t="s">
        <v>1460</v>
      </c>
      <c r="B45" s="1120" t="s">
        <v>690</v>
      </c>
      <c r="C45" s="1116" t="s">
        <v>1067</v>
      </c>
      <c r="D45" s="1116" t="s">
        <v>748</v>
      </c>
      <c r="E45" s="1117">
        <v>147400</v>
      </c>
      <c r="F45" s="1117">
        <v>0</v>
      </c>
      <c r="G45" s="1117">
        <v>3000</v>
      </c>
      <c r="H45" s="1114">
        <f t="shared" si="0"/>
        <v>144400</v>
      </c>
      <c r="I45" s="1117">
        <v>100000</v>
      </c>
      <c r="J45" s="1117">
        <v>47400</v>
      </c>
      <c r="K45" s="1117">
        <v>0</v>
      </c>
      <c r="L45" s="1117">
        <v>3000</v>
      </c>
      <c r="M45" s="705"/>
    </row>
    <row r="46" spans="1:13" s="1118" customFormat="1" ht="30">
      <c r="A46" s="1111" t="s">
        <v>1461</v>
      </c>
      <c r="B46" s="1120" t="s">
        <v>623</v>
      </c>
      <c r="C46" s="1116" t="s">
        <v>1067</v>
      </c>
      <c r="D46" s="1116" t="s">
        <v>748</v>
      </c>
      <c r="E46" s="1117">
        <v>113000</v>
      </c>
      <c r="F46" s="1117">
        <v>0</v>
      </c>
      <c r="G46" s="1117">
        <v>3000</v>
      </c>
      <c r="H46" s="1114">
        <f t="shared" si="0"/>
        <v>110000</v>
      </c>
      <c r="I46" s="1117">
        <v>100000</v>
      </c>
      <c r="J46" s="1117">
        <v>13000</v>
      </c>
      <c r="K46" s="1117">
        <v>0</v>
      </c>
      <c r="L46" s="1117">
        <v>3000</v>
      </c>
      <c r="M46" s="705"/>
    </row>
    <row r="47" spans="1:13" s="1118" customFormat="1" ht="30">
      <c r="A47" s="1111" t="s">
        <v>1462</v>
      </c>
      <c r="B47" s="1120" t="s">
        <v>502</v>
      </c>
      <c r="C47" s="1116" t="s">
        <v>1067</v>
      </c>
      <c r="D47" s="1116" t="s">
        <v>748</v>
      </c>
      <c r="E47" s="1117">
        <v>75000</v>
      </c>
      <c r="F47" s="1117">
        <v>0</v>
      </c>
      <c r="G47" s="1117">
        <v>2000</v>
      </c>
      <c r="H47" s="1114">
        <f t="shared" si="0"/>
        <v>73000</v>
      </c>
      <c r="I47" s="1117">
        <v>67500</v>
      </c>
      <c r="J47" s="1117">
        <v>7500</v>
      </c>
      <c r="K47" s="1117"/>
      <c r="L47" s="1117">
        <v>2000</v>
      </c>
      <c r="M47" s="705"/>
    </row>
    <row r="48" spans="1:13" s="1118" customFormat="1" ht="30">
      <c r="A48" s="1111" t="s">
        <v>1463</v>
      </c>
      <c r="B48" s="1120" t="s">
        <v>501</v>
      </c>
      <c r="C48" s="1116" t="s">
        <v>1067</v>
      </c>
      <c r="D48" s="1116" t="s">
        <v>748</v>
      </c>
      <c r="E48" s="1117">
        <v>75000</v>
      </c>
      <c r="F48" s="1117">
        <v>0</v>
      </c>
      <c r="G48" s="1117">
        <v>2000</v>
      </c>
      <c r="H48" s="1114">
        <f t="shared" si="0"/>
        <v>73000</v>
      </c>
      <c r="I48" s="1117">
        <v>67500</v>
      </c>
      <c r="J48" s="1117">
        <v>7500</v>
      </c>
      <c r="K48" s="1117"/>
      <c r="L48" s="1117">
        <v>2000</v>
      </c>
      <c r="M48" s="705"/>
    </row>
    <row r="49" spans="1:13" s="1118" customFormat="1" ht="30">
      <c r="A49" s="1111" t="s">
        <v>1464</v>
      </c>
      <c r="B49" s="1120" t="s">
        <v>691</v>
      </c>
      <c r="C49" s="1116" t="s">
        <v>1067</v>
      </c>
      <c r="D49" s="1116" t="s">
        <v>748</v>
      </c>
      <c r="E49" s="1117">
        <v>1064000</v>
      </c>
      <c r="F49" s="1117">
        <v>0</v>
      </c>
      <c r="G49" s="1117">
        <v>6000</v>
      </c>
      <c r="H49" s="1114">
        <f t="shared" si="0"/>
        <v>1058000</v>
      </c>
      <c r="I49" s="1117">
        <v>1000000</v>
      </c>
      <c r="J49" s="1117">
        <v>64000</v>
      </c>
      <c r="K49" s="1117"/>
      <c r="L49" s="1117">
        <v>6000</v>
      </c>
      <c r="M49" s="705"/>
    </row>
    <row r="50" spans="1:13" s="1118" customFormat="1" ht="30">
      <c r="A50" s="1121" t="s">
        <v>1465</v>
      </c>
      <c r="B50" s="1122" t="s">
        <v>624</v>
      </c>
      <c r="C50" s="1123" t="s">
        <v>1067</v>
      </c>
      <c r="D50" s="1123" t="s">
        <v>1171</v>
      </c>
      <c r="E50" s="1124">
        <v>95000</v>
      </c>
      <c r="F50" s="1124">
        <v>0</v>
      </c>
      <c r="G50" s="1124">
        <v>4000</v>
      </c>
      <c r="H50" s="1125">
        <f t="shared" si="0"/>
        <v>91000</v>
      </c>
      <c r="I50" s="1124">
        <v>85500</v>
      </c>
      <c r="J50" s="1124">
        <v>9500</v>
      </c>
      <c r="K50" s="1124"/>
      <c r="L50" s="1124">
        <v>4000</v>
      </c>
      <c r="M50" s="706"/>
    </row>
    <row r="51" spans="1:13" ht="29.25" customHeight="1">
      <c r="A51" s="1821" t="s">
        <v>1211</v>
      </c>
      <c r="B51" s="1822"/>
      <c r="C51" s="1822"/>
      <c r="D51" s="1823"/>
      <c r="E51" s="1126">
        <f aca="true" t="shared" si="2" ref="E51:L51">SUM(E10:E50)</f>
        <v>15819915</v>
      </c>
      <c r="F51" s="1126">
        <f t="shared" si="2"/>
        <v>0</v>
      </c>
      <c r="G51" s="1126">
        <f t="shared" si="2"/>
        <v>3100270</v>
      </c>
      <c r="H51" s="1126">
        <f t="shared" si="2"/>
        <v>12719645</v>
      </c>
      <c r="I51" s="1126">
        <f t="shared" si="2"/>
        <v>11904298</v>
      </c>
      <c r="J51" s="1126">
        <f t="shared" si="2"/>
        <v>3915617</v>
      </c>
      <c r="K51" s="1126">
        <f t="shared" si="2"/>
        <v>2409140</v>
      </c>
      <c r="L51" s="1126">
        <f t="shared" si="2"/>
        <v>691130.25</v>
      </c>
      <c r="M51" s="1127"/>
    </row>
    <row r="53" spans="2:13" ht="15" customHeight="1">
      <c r="B53" s="1130"/>
      <c r="C53" s="1128"/>
      <c r="D53" s="1128"/>
      <c r="E53" s="1131"/>
      <c r="F53" s="1131"/>
      <c r="G53" s="1131"/>
      <c r="H53" s="1129"/>
      <c r="I53" s="1129"/>
      <c r="J53" s="1129"/>
      <c r="K53" s="1129"/>
      <c r="L53" s="1129"/>
      <c r="M53" s="1130"/>
    </row>
    <row r="54" spans="2:13" ht="15" customHeight="1">
      <c r="B54" s="1130"/>
      <c r="C54" s="1128"/>
      <c r="D54" s="1128"/>
      <c r="E54" s="1129"/>
      <c r="F54" s="1129"/>
      <c r="G54" s="1129"/>
      <c r="H54" s="1129"/>
      <c r="I54" s="1129"/>
      <c r="J54" s="1131"/>
      <c r="K54" s="1131"/>
      <c r="L54" s="1131"/>
      <c r="M54" s="1130"/>
    </row>
  </sheetData>
  <sheetProtection/>
  <mergeCells count="19">
    <mergeCell ref="A51:D51"/>
    <mergeCell ref="A9:M9"/>
    <mergeCell ref="I5:L5"/>
    <mergeCell ref="K6:L6"/>
    <mergeCell ref="E5:E8"/>
    <mergeCell ref="G5:G8"/>
    <mergeCell ref="K7:K8"/>
    <mergeCell ref="L7:L8"/>
    <mergeCell ref="I8:J8"/>
    <mergeCell ref="B2:M2"/>
    <mergeCell ref="F5:F7"/>
    <mergeCell ref="I6:I7"/>
    <mergeCell ref="J6:J7"/>
    <mergeCell ref="J4:M4"/>
    <mergeCell ref="C5:C8"/>
    <mergeCell ref="D5:D8"/>
    <mergeCell ref="A5:B8"/>
    <mergeCell ref="M5:M8"/>
    <mergeCell ref="H5:H8"/>
  </mergeCells>
  <printOptions horizontalCentered="1"/>
  <pageMargins left="0.3937007874015748" right="0.2362204724409449" top="0.67" bottom="0.4330708661417323" header="0.15748031496062992" footer="0.1968503937007874"/>
  <pageSetup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sheetPr codeName="Munka11">
    <tabColor indexed="43"/>
  </sheetPr>
  <dimension ref="A1:J46"/>
  <sheetViews>
    <sheetView workbookViewId="0" topLeftCell="A1">
      <selection activeCell="F58" sqref="F58"/>
    </sheetView>
  </sheetViews>
  <sheetFormatPr defaultColWidth="9.140625" defaultRowHeight="12.75"/>
  <cols>
    <col min="1" max="1" width="72.140625" style="1135" customWidth="1"/>
    <col min="2" max="2" width="15.57421875" style="1135" customWidth="1"/>
    <col min="3" max="3" width="23.57421875" style="1135" customWidth="1"/>
    <col min="4" max="4" width="20.00390625" style="1135" customWidth="1"/>
    <col min="5" max="5" width="16.28125" style="1135" customWidth="1"/>
    <col min="6" max="6" width="12.421875" style="1135" customWidth="1"/>
    <col min="7" max="7" width="16.28125" style="1135" customWidth="1"/>
    <col min="8" max="8" width="13.28125" style="1135" customWidth="1"/>
    <col min="9" max="9" width="9.140625" style="1135" bestFit="1" customWidth="1"/>
    <col min="10" max="10" width="9.28125" style="1135" bestFit="1" customWidth="1"/>
    <col min="11" max="11" width="9.8515625" style="1135" bestFit="1" customWidth="1"/>
    <col min="12" max="16384" width="9.140625" style="1135" customWidth="1"/>
  </cols>
  <sheetData>
    <row r="1" spans="5:6" ht="21.75" customHeight="1">
      <c r="E1" s="1836" t="s">
        <v>32</v>
      </c>
      <c r="F1" s="1836"/>
    </row>
    <row r="2" spans="1:6" ht="28.5" customHeight="1">
      <c r="A2" s="1837" t="s">
        <v>111</v>
      </c>
      <c r="B2" s="1837"/>
      <c r="C2" s="1837"/>
      <c r="D2" s="1837"/>
      <c r="E2" s="1837"/>
      <c r="F2" s="1837"/>
    </row>
    <row r="3" spans="1:6" ht="20.25" customHeight="1">
      <c r="A3" s="1837" t="s">
        <v>745</v>
      </c>
      <c r="B3" s="1837"/>
      <c r="C3" s="1837"/>
      <c r="D3" s="1837"/>
      <c r="E3" s="1837"/>
      <c r="F3" s="1837"/>
    </row>
    <row r="4" spans="1:6" ht="20.25" customHeight="1">
      <c r="A4" s="1136"/>
      <c r="B4" s="1136"/>
      <c r="C4" s="1136"/>
      <c r="D4" s="1136"/>
      <c r="E4" s="1136"/>
      <c r="F4" s="1136"/>
    </row>
    <row r="5" spans="5:6" ht="15.75">
      <c r="E5" s="1843" t="s">
        <v>384</v>
      </c>
      <c r="F5" s="1843"/>
    </row>
    <row r="6" spans="1:10" ht="21" customHeight="1">
      <c r="A6" s="1838" t="s">
        <v>538</v>
      </c>
      <c r="B6" s="1840" t="s">
        <v>539</v>
      </c>
      <c r="C6" s="1840" t="s">
        <v>540</v>
      </c>
      <c r="D6" s="1840"/>
      <c r="E6" s="1840"/>
      <c r="F6" s="1842"/>
      <c r="G6" s="1136"/>
      <c r="H6" s="1136"/>
      <c r="I6" s="1136"/>
      <c r="J6" s="1136"/>
    </row>
    <row r="7" spans="1:10" ht="35.25" customHeight="1">
      <c r="A7" s="1839"/>
      <c r="B7" s="1841"/>
      <c r="C7" s="1363" t="s">
        <v>541</v>
      </c>
      <c r="D7" s="1363" t="s">
        <v>542</v>
      </c>
      <c r="E7" s="1363" t="s">
        <v>543</v>
      </c>
      <c r="F7" s="1364" t="s">
        <v>544</v>
      </c>
      <c r="G7" s="1136"/>
      <c r="H7" s="1136"/>
      <c r="I7" s="1136"/>
      <c r="J7" s="1136"/>
    </row>
    <row r="8" spans="1:7" ht="18" customHeight="1">
      <c r="A8" s="1057" t="str">
        <f>'3.1. terv alapegys'!B178</f>
        <v>Szolnok belvárosának rehabilitációja (támogatott műszaki tartalom)</v>
      </c>
      <c r="B8" s="1137">
        <f>SUM('3.1. terv alapegys'!C178)</f>
        <v>258550</v>
      </c>
      <c r="C8" s="1138"/>
      <c r="D8" s="1138">
        <f>SUM(B8)</f>
        <v>258550</v>
      </c>
      <c r="E8" s="1138"/>
      <c r="F8" s="1139">
        <f aca="true" t="shared" si="0" ref="F8:F14">B8-C8-D8-E8</f>
        <v>0</v>
      </c>
      <c r="G8" s="1135">
        <f>B8-C8-D8-E8-F8</f>
        <v>0</v>
      </c>
    </row>
    <row r="9" spans="1:7" ht="18" customHeight="1">
      <c r="A9" s="1058" t="str">
        <f>'3.1. terv alapegys'!B179</f>
        <v>Szolnok belvárosának rehabilitációja (nem támogatott műszaki tartalom)</v>
      </c>
      <c r="B9" s="1140">
        <f>SUM('3.1. terv alapegys'!C179)</f>
        <v>92919</v>
      </c>
      <c r="C9" s="1141"/>
      <c r="D9" s="1141"/>
      <c r="E9" s="1141"/>
      <c r="F9" s="1142">
        <f t="shared" si="0"/>
        <v>92919</v>
      </c>
      <c r="G9" s="1135">
        <f aca="true" t="shared" si="1" ref="G9:G45">B9-C9-D9-E9-F9</f>
        <v>0</v>
      </c>
    </row>
    <row r="10" spans="1:7" ht="18" customHeight="1">
      <c r="A10" s="1058" t="str">
        <f>'3.1. terv alapegys'!B180</f>
        <v>Regionális hulladéklerakó megvalósítása</v>
      </c>
      <c r="B10" s="1140">
        <f>SUM('3.1. terv alapegys'!C180)</f>
        <v>120000</v>
      </c>
      <c r="C10" s="1141">
        <v>108000</v>
      </c>
      <c r="D10" s="1141"/>
      <c r="E10" s="1141"/>
      <c r="F10" s="1142">
        <f t="shared" si="0"/>
        <v>12000</v>
      </c>
      <c r="G10" s="1135">
        <f t="shared" si="1"/>
        <v>0</v>
      </c>
    </row>
    <row r="11" spans="1:7" ht="18" customHeight="1">
      <c r="A11" s="1058" t="str">
        <f>'3.1. terv alapegys'!B181</f>
        <v>Regionális hulladéklerakó megvalósítása áthúzódó</v>
      </c>
      <c r="B11" s="1140">
        <f>SUM('3.1. terv alapegys'!C181)</f>
        <v>36959</v>
      </c>
      <c r="C11" s="1141">
        <v>1920</v>
      </c>
      <c r="D11" s="1141"/>
      <c r="E11" s="1141"/>
      <c r="F11" s="1142">
        <f t="shared" si="0"/>
        <v>35039</v>
      </c>
      <c r="G11" s="1135">
        <f t="shared" si="1"/>
        <v>0</v>
      </c>
    </row>
    <row r="12" spans="1:7" ht="18" customHeight="1">
      <c r="A12" s="1058" t="str">
        <f>'3.1. terv alapegys'!B182</f>
        <v>Iparosított technológiával épült lakóépületek korszerűsítése </v>
      </c>
      <c r="B12" s="1140">
        <f>SUM('3.1. terv alapegys'!C182)</f>
        <v>288225</v>
      </c>
      <c r="C12" s="1141">
        <v>94675</v>
      </c>
      <c r="D12" s="1141"/>
      <c r="E12" s="1141">
        <v>94675</v>
      </c>
      <c r="F12" s="1142">
        <f t="shared" si="0"/>
        <v>98875</v>
      </c>
      <c r="G12" s="1135">
        <f t="shared" si="1"/>
        <v>0</v>
      </c>
    </row>
    <row r="13" spans="1:7" ht="18" customHeight="1">
      <c r="A13" s="1058" t="str">
        <f>'3.1. terv alapegys'!B183</f>
        <v>Tiszaliget infrastrukturális fejlesztése terv</v>
      </c>
      <c r="B13" s="1140">
        <f>SUM('3.1. terv alapegys'!C183)</f>
        <v>29800</v>
      </c>
      <c r="C13" s="1141"/>
      <c r="D13" s="1141"/>
      <c r="E13" s="1141"/>
      <c r="F13" s="1142">
        <f t="shared" si="0"/>
        <v>29800</v>
      </c>
      <c r="G13" s="1135">
        <f t="shared" si="1"/>
        <v>0</v>
      </c>
    </row>
    <row r="14" spans="1:7" ht="18" customHeight="1">
      <c r="A14" s="1058" t="str">
        <f>'3.1. terv alapegys'!B184</f>
        <v>Játszótéri program</v>
      </c>
      <c r="B14" s="1140">
        <f>SUM('3.1. terv alapegys'!C184)</f>
        <v>50000</v>
      </c>
      <c r="C14" s="1141"/>
      <c r="D14" s="1141"/>
      <c r="E14" s="1141"/>
      <c r="F14" s="1142">
        <f t="shared" si="0"/>
        <v>50000</v>
      </c>
      <c r="G14" s="1135">
        <f t="shared" si="1"/>
        <v>0</v>
      </c>
    </row>
    <row r="15" spans="1:7" ht="18" customHeight="1">
      <c r="A15" s="1255" t="str">
        <f>'3.1. terv alapegys'!B185</f>
        <v>Thököly út 7. fogyatékosok otthonának építése</v>
      </c>
      <c r="B15" s="1140">
        <f>SUM('3.1. terv alapegys'!C185)</f>
        <v>79224</v>
      </c>
      <c r="C15" s="1141">
        <v>77500</v>
      </c>
      <c r="D15" s="1141"/>
      <c r="E15" s="1141"/>
      <c r="F15" s="1142">
        <f>B15-C15-D15-E15</f>
        <v>1724</v>
      </c>
      <c r="G15" s="1135">
        <f t="shared" si="1"/>
        <v>0</v>
      </c>
    </row>
    <row r="16" spans="1:7" ht="18" customHeight="1">
      <c r="A16" s="1255" t="str">
        <f>'3.1. terv alapegys'!B186</f>
        <v>Tűzoltóság szerállományának bővítése</v>
      </c>
      <c r="B16" s="1140">
        <f>SUM('3.1. terv alapegys'!C186)</f>
        <v>25000</v>
      </c>
      <c r="C16" s="1141"/>
      <c r="D16" s="1141"/>
      <c r="E16" s="1141"/>
      <c r="F16" s="1142">
        <f aca="true" t="shared" si="2" ref="F16:F41">B16-C16-D16-E16</f>
        <v>25000</v>
      </c>
      <c r="G16" s="1135">
        <f t="shared" si="1"/>
        <v>0</v>
      </c>
    </row>
    <row r="17" spans="1:9" ht="18" customHeight="1">
      <c r="A17" s="1255" t="str">
        <f>'3.1. terv alapegys'!B187</f>
        <v>Intézményi felújítások előkészítése</v>
      </c>
      <c r="B17" s="1140">
        <f>SUM('3.1. terv alapegys'!C187)</f>
        <v>5280</v>
      </c>
      <c r="C17" s="1141"/>
      <c r="D17" s="1141"/>
      <c r="E17" s="1141"/>
      <c r="F17" s="1142">
        <f t="shared" si="2"/>
        <v>5280</v>
      </c>
      <c r="G17" s="1135">
        <f t="shared" si="1"/>
        <v>0</v>
      </c>
      <c r="H17" s="1143"/>
      <c r="I17" s="1143"/>
    </row>
    <row r="18" spans="1:7" ht="18" customHeight="1">
      <c r="A18" s="1255" t="str">
        <f>'3.1. terv alapegys'!B188</f>
        <v>Szabadidősport céljára alkalmas városi sportpályák felújítása</v>
      </c>
      <c r="B18" s="1140">
        <f>SUM('3.1. terv alapegys'!C188)</f>
        <v>5000</v>
      </c>
      <c r="C18" s="1141"/>
      <c r="D18" s="1141"/>
      <c r="E18" s="1141"/>
      <c r="F18" s="1142">
        <f t="shared" si="2"/>
        <v>5000</v>
      </c>
      <c r="G18" s="1135">
        <f t="shared" si="1"/>
        <v>0</v>
      </c>
    </row>
    <row r="19" spans="1:7" ht="18" customHeight="1">
      <c r="A19" s="1255" t="str">
        <f>'3.1. terv alapegys'!B189</f>
        <v>Településfejlesztési koncepció</v>
      </c>
      <c r="B19" s="1140">
        <f>SUM('3.1. terv alapegys'!C189)</f>
        <v>840</v>
      </c>
      <c r="C19" s="1141"/>
      <c r="D19" s="1141"/>
      <c r="E19" s="1141"/>
      <c r="F19" s="1142">
        <f t="shared" si="2"/>
        <v>840</v>
      </c>
      <c r="G19" s="1135">
        <f t="shared" si="1"/>
        <v>0</v>
      </c>
    </row>
    <row r="20" spans="1:7" ht="18" customHeight="1">
      <c r="A20" s="1255" t="str">
        <f>'3.1. terv alapegys'!B190</f>
        <v>Intézményi felújítások (Ruhaipari SzKI, Verseghy Gimnázium)</v>
      </c>
      <c r="B20" s="1140">
        <f>SUM('3.1. terv alapegys'!C190)</f>
        <v>79</v>
      </c>
      <c r="C20" s="1141">
        <v>79</v>
      </c>
      <c r="D20" s="1141"/>
      <c r="E20" s="1141"/>
      <c r="F20" s="1142">
        <f t="shared" si="2"/>
        <v>0</v>
      </c>
      <c r="G20" s="1135">
        <f t="shared" si="1"/>
        <v>0</v>
      </c>
    </row>
    <row r="21" spans="1:7" ht="18" customHeight="1">
      <c r="A21" s="1255" t="str">
        <f>'3.1. terv alapegys'!B191</f>
        <v>Városháza épületfelújítás</v>
      </c>
      <c r="B21" s="1140">
        <f>SUM('3.1. terv alapegys'!C191)</f>
        <v>90000</v>
      </c>
      <c r="C21" s="1141"/>
      <c r="D21" s="1141"/>
      <c r="E21" s="1141"/>
      <c r="F21" s="1142">
        <f t="shared" si="2"/>
        <v>90000</v>
      </c>
      <c r="G21" s="1135">
        <f t="shared" si="1"/>
        <v>0</v>
      </c>
    </row>
    <row r="22" spans="1:7" ht="18" customHeight="1">
      <c r="A22" s="1255" t="str">
        <f>'3.1. terv alapegys'!B192</f>
        <v>Városháza fűtéskorszerűsítés</v>
      </c>
      <c r="B22" s="1140">
        <f>SUM('3.1. terv alapegys'!C192)</f>
        <v>11947</v>
      </c>
      <c r="C22" s="1141">
        <f>SUM(B22)</f>
        <v>11947</v>
      </c>
      <c r="D22" s="1141"/>
      <c r="E22" s="1141"/>
      <c r="F22" s="1142">
        <f t="shared" si="2"/>
        <v>0</v>
      </c>
      <c r="G22" s="1135">
        <f t="shared" si="1"/>
        <v>0</v>
      </c>
    </row>
    <row r="23" spans="1:7" ht="18" customHeight="1">
      <c r="A23" s="1255" t="str">
        <f>'3.1. terv alapegys'!B193</f>
        <v>Integrált pénzügyi rendszer</v>
      </c>
      <c r="B23" s="1140">
        <f>SUM('3.1. terv alapegys'!C193)</f>
        <v>14520</v>
      </c>
      <c r="C23" s="1141"/>
      <c r="D23" s="1141"/>
      <c r="E23" s="1141"/>
      <c r="F23" s="1142">
        <f t="shared" si="2"/>
        <v>14520</v>
      </c>
      <c r="G23" s="1135">
        <f t="shared" si="1"/>
        <v>0</v>
      </c>
    </row>
    <row r="24" spans="1:7" ht="18" customHeight="1">
      <c r="A24" s="1255" t="str">
        <f>'3.1. terv alapegys'!B194</f>
        <v>Közbeszerzés</v>
      </c>
      <c r="B24" s="1140">
        <f>SUM('3.1. terv alapegys'!C194)</f>
        <v>7000</v>
      </c>
      <c r="C24" s="1141"/>
      <c r="D24" s="1141"/>
      <c r="E24" s="1141"/>
      <c r="F24" s="1142">
        <f t="shared" si="2"/>
        <v>7000</v>
      </c>
      <c r="G24" s="1135">
        <f t="shared" si="1"/>
        <v>0</v>
      </c>
    </row>
    <row r="25" spans="1:7" ht="18" customHeight="1">
      <c r="A25" s="1255" t="str">
        <f>'3.1. terv alapegys'!B195</f>
        <v>Tiszaliget infrastrukturális fejlesztése</v>
      </c>
      <c r="B25" s="1140">
        <f>SUM('3.1. terv alapegys'!C195)</f>
        <v>450000</v>
      </c>
      <c r="C25" s="1141"/>
      <c r="D25" s="1141"/>
      <c r="E25" s="1141"/>
      <c r="F25" s="1142">
        <f t="shared" si="2"/>
        <v>450000</v>
      </c>
      <c r="G25" s="1135">
        <f t="shared" si="1"/>
        <v>0</v>
      </c>
    </row>
    <row r="26" spans="1:7" ht="18" customHeight="1">
      <c r="A26" s="1255" t="str">
        <f>'3.1. terv alapegys'!B196</f>
        <v>Ipari Park közműépítése</v>
      </c>
      <c r="B26" s="1140">
        <f>SUM('3.1. terv alapegys'!C196)</f>
        <v>600000</v>
      </c>
      <c r="C26" s="1141"/>
      <c r="D26" s="1141"/>
      <c r="E26" s="1141"/>
      <c r="F26" s="1142">
        <f t="shared" si="2"/>
        <v>600000</v>
      </c>
      <c r="G26" s="1135">
        <f t="shared" si="1"/>
        <v>0</v>
      </c>
    </row>
    <row r="27" spans="1:7" ht="18" customHeight="1">
      <c r="A27" s="1255" t="str">
        <f>'3.1. terv alapegys'!B197</f>
        <v>Új út építési program</v>
      </c>
      <c r="B27" s="1140">
        <f>SUM('3.1. terv alapegys'!C197)</f>
        <v>85000</v>
      </c>
      <c r="C27" s="1141"/>
      <c r="D27" s="1141"/>
      <c r="E27" s="1141"/>
      <c r="F27" s="1142">
        <f t="shared" si="2"/>
        <v>85000</v>
      </c>
      <c r="G27" s="1135">
        <f t="shared" si="1"/>
        <v>0</v>
      </c>
    </row>
    <row r="28" spans="1:7" ht="18" customHeight="1">
      <c r="A28" s="1255" t="str">
        <f>'3.1. terv alapegys'!B198</f>
        <v>Meglévő utak felújítása (egyéb utak)</v>
      </c>
      <c r="B28" s="1140">
        <f>SUM('3.1. terv alapegys'!C198)</f>
        <v>172000</v>
      </c>
      <c r="C28" s="1141"/>
      <c r="D28" s="1141"/>
      <c r="E28" s="1141"/>
      <c r="F28" s="1142">
        <f t="shared" si="2"/>
        <v>172000</v>
      </c>
      <c r="G28" s="1135">
        <f t="shared" si="1"/>
        <v>0</v>
      </c>
    </row>
    <row r="29" spans="1:7" ht="18" customHeight="1">
      <c r="A29" s="1255" t="str">
        <f>'3.1. terv alapegys'!B199</f>
        <v>Járdaépítés, felújítás</v>
      </c>
      <c r="B29" s="1140">
        <f>SUM('3.1. terv alapegys'!C199)</f>
        <v>30000</v>
      </c>
      <c r="C29" s="1141"/>
      <c r="D29" s="1141"/>
      <c r="E29" s="1141"/>
      <c r="F29" s="1142">
        <f t="shared" si="2"/>
        <v>30000</v>
      </c>
      <c r="G29" s="1135">
        <f t="shared" si="1"/>
        <v>0</v>
      </c>
    </row>
    <row r="30" spans="1:7" ht="18" customHeight="1">
      <c r="A30" s="1255" t="str">
        <f>'3.1. terv alapegys'!B200</f>
        <v>Parkok felszerelése</v>
      </c>
      <c r="B30" s="1140">
        <f>SUM('3.1. terv alapegys'!C200)</f>
        <v>5000</v>
      </c>
      <c r="C30" s="1141"/>
      <c r="D30" s="1141"/>
      <c r="E30" s="1141"/>
      <c r="F30" s="1142">
        <f t="shared" si="2"/>
        <v>5000</v>
      </c>
      <c r="G30" s="1135">
        <f t="shared" si="1"/>
        <v>0</v>
      </c>
    </row>
    <row r="31" spans="1:7" ht="18" customHeight="1">
      <c r="A31" s="1255" t="str">
        <f>'3.1. terv alapegys'!B201</f>
        <v>Fásítási program</v>
      </c>
      <c r="B31" s="1140">
        <f>SUM('3.1. terv alapegys'!C201)</f>
        <v>4500</v>
      </c>
      <c r="C31" s="1141"/>
      <c r="D31" s="1141"/>
      <c r="E31" s="1141"/>
      <c r="F31" s="1142">
        <f t="shared" si="2"/>
        <v>4500</v>
      </c>
      <c r="G31" s="1135">
        <f t="shared" si="1"/>
        <v>0</v>
      </c>
    </row>
    <row r="32" spans="1:7" ht="18" customHeight="1">
      <c r="A32" s="1255" t="str">
        <f>'3.1. terv alapegys'!B202</f>
        <v>Kerékpárút építése (Szolnok- Dobapuszta)</v>
      </c>
      <c r="B32" s="1140">
        <f>SUM('3.1. terv alapegys'!C202)</f>
        <v>1500</v>
      </c>
      <c r="C32" s="1141"/>
      <c r="D32" s="1141"/>
      <c r="E32" s="1141"/>
      <c r="F32" s="1142">
        <f t="shared" si="2"/>
        <v>1500</v>
      </c>
      <c r="G32" s="1135">
        <f t="shared" si="1"/>
        <v>0</v>
      </c>
    </row>
    <row r="33" spans="1:7" ht="18" customHeight="1">
      <c r="A33" s="1255" t="str">
        <f>'3.1. terv alapegys'!B203</f>
        <v>Csokonai u. közvilágítás átépítése</v>
      </c>
      <c r="B33" s="1140">
        <f>SUM('3.1. terv alapegys'!C203)</f>
        <v>8000</v>
      </c>
      <c r="C33" s="1141"/>
      <c r="D33" s="1141"/>
      <c r="E33" s="1141"/>
      <c r="F33" s="1142">
        <f t="shared" si="2"/>
        <v>8000</v>
      </c>
      <c r="G33" s="1135">
        <f t="shared" si="1"/>
        <v>0</v>
      </c>
    </row>
    <row r="34" spans="1:7" ht="18" customHeight="1">
      <c r="A34" s="1255" t="str">
        <f>'3.1. terv alapegys'!B204</f>
        <v>Közvilágítás egyedi lakossági igények</v>
      </c>
      <c r="B34" s="1140">
        <f>SUM('3.1. terv alapegys'!C204)</f>
        <v>5000</v>
      </c>
      <c r="C34" s="1141"/>
      <c r="D34" s="1141"/>
      <c r="E34" s="1141"/>
      <c r="F34" s="1142">
        <f t="shared" si="2"/>
        <v>5000</v>
      </c>
      <c r="G34" s="1135">
        <f t="shared" si="1"/>
        <v>0</v>
      </c>
    </row>
    <row r="35" spans="1:7" ht="18" customHeight="1">
      <c r="A35" s="1255" t="str">
        <f>'3.1. terv alapegys'!B205</f>
        <v>Széchenyi lakótelep piac mögötti járda megvilágítása</v>
      </c>
      <c r="B35" s="1140">
        <f>SUM('3.1. terv alapegys'!C205)</f>
        <v>1000</v>
      </c>
      <c r="C35" s="1141"/>
      <c r="D35" s="1141"/>
      <c r="E35" s="1141"/>
      <c r="F35" s="1142">
        <f t="shared" si="2"/>
        <v>1000</v>
      </c>
      <c r="G35" s="1135">
        <f t="shared" si="1"/>
        <v>0</v>
      </c>
    </row>
    <row r="36" spans="1:7" ht="18" customHeight="1">
      <c r="A36" s="1255" t="str">
        <f>'3.1. terv alapegys'!B206</f>
        <v>EGT, Norvég Alap Környezeti nevelés</v>
      </c>
      <c r="B36" s="1140">
        <f>SUM('3.1. terv alapegys'!C206)</f>
        <v>8250</v>
      </c>
      <c r="C36" s="1141"/>
      <c r="D36" s="1141"/>
      <c r="E36" s="1141"/>
      <c r="F36" s="1142">
        <f t="shared" si="2"/>
        <v>8250</v>
      </c>
      <c r="G36" s="1135">
        <f t="shared" si="1"/>
        <v>0</v>
      </c>
    </row>
    <row r="37" spans="1:7" ht="29.25" customHeight="1">
      <c r="A37" s="1255" t="str">
        <f>'3.1. terv alapegys'!B207</f>
        <v>Építészeti, Faipari és Környezetgazdálkodási Szakközépiskola Tószegi úti tanműhely bővítése</v>
      </c>
      <c r="B37" s="1140">
        <f>SUM('3.1. terv alapegys'!C207)</f>
        <v>5000</v>
      </c>
      <c r="C37" s="1141"/>
      <c r="D37" s="1141"/>
      <c r="E37" s="1141"/>
      <c r="F37" s="1142">
        <f t="shared" si="2"/>
        <v>5000</v>
      </c>
      <c r="G37" s="1135">
        <f t="shared" si="1"/>
        <v>0</v>
      </c>
    </row>
    <row r="38" spans="1:7" ht="18" customHeight="1">
      <c r="A38" s="1255" t="str">
        <f>'3.1. terv alapegys'!B208</f>
        <v>Kanizsa Tivadar tanmedence felújítása</v>
      </c>
      <c r="B38" s="1140">
        <f>SUM('3.1. terv alapegys'!C208)</f>
        <v>20000</v>
      </c>
      <c r="C38" s="1141"/>
      <c r="D38" s="1141"/>
      <c r="E38" s="1141"/>
      <c r="F38" s="1142">
        <f t="shared" si="2"/>
        <v>20000</v>
      </c>
      <c r="G38" s="1135">
        <f t="shared" si="1"/>
        <v>0</v>
      </c>
    </row>
    <row r="39" spans="1:7" ht="18" customHeight="1">
      <c r="A39" s="1255" t="str">
        <f>'3.1. terv alapegys'!B209</f>
        <v>Óvodai játszóterek felújítása, karbantartása</v>
      </c>
      <c r="B39" s="1140">
        <f>SUM('3.1. terv alapegys'!C209)</f>
        <v>8000</v>
      </c>
      <c r="C39" s="1141"/>
      <c r="D39" s="1141"/>
      <c r="E39" s="1141"/>
      <c r="F39" s="1142">
        <f t="shared" si="2"/>
        <v>8000</v>
      </c>
      <c r="G39" s="1135">
        <f t="shared" si="1"/>
        <v>0</v>
      </c>
    </row>
    <row r="40" spans="1:7" ht="18" customHeight="1">
      <c r="A40" s="1255" t="str">
        <f>'3.1. terv alapegys'!B210</f>
        <v>Orvosi rendelő vásárlás</v>
      </c>
      <c r="B40" s="1140">
        <f>SUM('3.1. terv alapegys'!C210)</f>
        <v>41000</v>
      </c>
      <c r="C40" s="1141"/>
      <c r="D40" s="1141"/>
      <c r="E40" s="1141"/>
      <c r="F40" s="1142">
        <f t="shared" si="2"/>
        <v>41000</v>
      </c>
      <c r="G40" s="1135">
        <f t="shared" si="1"/>
        <v>0</v>
      </c>
    </row>
    <row r="41" spans="1:7" ht="15.75">
      <c r="A41" s="1255" t="str">
        <f>'3.1. terv alapegys'!B211</f>
        <v>Körforgalmak kertészeti rendezése</v>
      </c>
      <c r="B41" s="1144">
        <f>SUM('3.1. terv alapegys'!C211)</f>
        <v>10000</v>
      </c>
      <c r="C41" s="1145"/>
      <c r="D41" s="1145"/>
      <c r="E41" s="1145"/>
      <c r="F41" s="1146">
        <f t="shared" si="2"/>
        <v>10000</v>
      </c>
      <c r="G41" s="1135">
        <f t="shared" si="1"/>
        <v>0</v>
      </c>
    </row>
    <row r="42" spans="1:7" ht="18" customHeight="1">
      <c r="A42" s="1147" t="s">
        <v>804</v>
      </c>
      <c r="B42" s="1148">
        <f>SUM(B8:B41)</f>
        <v>2569593</v>
      </c>
      <c r="C42" s="1148">
        <f>SUM(C8:C41)</f>
        <v>294121</v>
      </c>
      <c r="D42" s="1148">
        <f>SUM(D8:D41)</f>
        <v>258550</v>
      </c>
      <c r="E42" s="1148">
        <f>SUM(E8:E41)</f>
        <v>94675</v>
      </c>
      <c r="F42" s="1149">
        <f>SUM(F8:F41)</f>
        <v>1922247</v>
      </c>
      <c r="G42" s="1135">
        <f t="shared" si="1"/>
        <v>0</v>
      </c>
    </row>
    <row r="43" spans="1:7" ht="18" customHeight="1">
      <c r="A43" s="1343" t="s">
        <v>805</v>
      </c>
      <c r="B43" s="1150">
        <f>SUM('3.1. terv alapegys'!I108,'3.1. terv alapegys'!I148,'3.1. terv alapegys'!I169,'3.1. terv alapegys'!I212,'3.1. terv alapegys'!I223)</f>
        <v>244200</v>
      </c>
      <c r="C43" s="1151"/>
      <c r="D43" s="1151"/>
      <c r="E43" s="1151"/>
      <c r="F43" s="1142">
        <f>B43-C43-D43-E43</f>
        <v>244200</v>
      </c>
      <c r="G43" s="1135">
        <f t="shared" si="1"/>
        <v>0</v>
      </c>
    </row>
    <row r="44" spans="1:7" ht="18" customHeight="1">
      <c r="A44" s="1344" t="s">
        <v>806</v>
      </c>
      <c r="B44" s="1152">
        <f>SUM('2.sz. intézményi'!I251)</f>
        <v>44700</v>
      </c>
      <c r="C44" s="1153"/>
      <c r="D44" s="1153"/>
      <c r="E44" s="1153"/>
      <c r="F44" s="1142">
        <f>B44-C44-D44-E44</f>
        <v>44700</v>
      </c>
      <c r="G44" s="1135">
        <f t="shared" si="1"/>
        <v>0</v>
      </c>
    </row>
    <row r="45" spans="1:7" ht="19.5" customHeight="1">
      <c r="A45" s="1154" t="s">
        <v>807</v>
      </c>
      <c r="B45" s="1155">
        <f>SUM(B42:B44)</f>
        <v>2858493</v>
      </c>
      <c r="C45" s="1155">
        <f>SUM(C42:C44)</f>
        <v>294121</v>
      </c>
      <c r="D45" s="1155">
        <f>SUM(D42:D44)</f>
        <v>258550</v>
      </c>
      <c r="E45" s="1155">
        <f>SUM(E42:E44)</f>
        <v>94675</v>
      </c>
      <c r="F45" s="1156">
        <f>SUM(F42:F44)</f>
        <v>2211147</v>
      </c>
      <c r="G45" s="1135">
        <f t="shared" si="1"/>
        <v>0</v>
      </c>
    </row>
    <row r="46" ht="12.75" customHeight="1">
      <c r="B46" s="1157"/>
    </row>
  </sheetData>
  <mergeCells count="7">
    <mergeCell ref="E1:F1"/>
    <mergeCell ref="A2:F2"/>
    <mergeCell ref="A6:A7"/>
    <mergeCell ref="B6:B7"/>
    <mergeCell ref="C6:F6"/>
    <mergeCell ref="A3:F3"/>
    <mergeCell ref="E5:F5"/>
  </mergeCells>
  <printOptions horizontalCentered="1"/>
  <pageMargins left="0.8267716535433072" right="0.6692913385826772" top="0.69" bottom="0.35433070866141736" header="0.35433070866141736" footer="0.5118110236220472"/>
  <pageSetup horizontalDpi="600" verticalDpi="600" orientation="landscape" paperSize="9" scale="77" r:id="rId1"/>
  <rowBreaks count="1" manualBreakCount="1">
    <brk id="45" max="255" man="1"/>
  </rowBreaks>
</worksheet>
</file>

<file path=xl/worksheets/sheet15.xml><?xml version="1.0" encoding="utf-8"?>
<worksheet xmlns="http://schemas.openxmlformats.org/spreadsheetml/2006/main" xmlns:r="http://schemas.openxmlformats.org/officeDocument/2006/relationships">
  <sheetPr>
    <tabColor indexed="43"/>
  </sheetPr>
  <dimension ref="A1:K18"/>
  <sheetViews>
    <sheetView workbookViewId="0" topLeftCell="A1">
      <selection activeCell="F58" sqref="F58"/>
    </sheetView>
  </sheetViews>
  <sheetFormatPr defaultColWidth="9.140625" defaultRowHeight="12.75"/>
  <cols>
    <col min="1" max="1" width="44.00390625" style="165" customWidth="1"/>
    <col min="2" max="4" width="10.7109375" style="165" customWidth="1"/>
    <col min="5" max="7" width="11.7109375" style="166" customWidth="1"/>
    <col min="8" max="8" width="12.28125" style="166" customWidth="1"/>
    <col min="9" max="9" width="11.7109375" style="166" customWidth="1"/>
    <col min="10" max="11" width="11.7109375" style="165" customWidth="1"/>
    <col min="12" max="16384" width="9.140625" style="165" customWidth="1"/>
  </cols>
  <sheetData>
    <row r="1" spans="10:11" ht="20.25" customHeight="1">
      <c r="J1" s="1844" t="s">
        <v>33</v>
      </c>
      <c r="K1" s="1844"/>
    </row>
    <row r="2" spans="1:11" ht="20.25" customHeight="1">
      <c r="A2" s="1851" t="s">
        <v>273</v>
      </c>
      <c r="B2" s="1851"/>
      <c r="C2" s="1851"/>
      <c r="D2" s="1851"/>
      <c r="E2" s="1851"/>
      <c r="F2" s="1851"/>
      <c r="G2" s="1851"/>
      <c r="H2" s="1851"/>
      <c r="I2" s="1851"/>
      <c r="J2" s="1851"/>
      <c r="K2" s="1851"/>
    </row>
    <row r="3" spans="1:11" ht="27.75" customHeight="1">
      <c r="A3" s="1845" t="s">
        <v>817</v>
      </c>
      <c r="B3" s="1845"/>
      <c r="C3" s="1845"/>
      <c r="D3" s="1845"/>
      <c r="E3" s="1845"/>
      <c r="F3" s="1845"/>
      <c r="G3" s="1845"/>
      <c r="H3" s="1845"/>
      <c r="I3" s="1845"/>
      <c r="J3" s="1845"/>
      <c r="K3" s="1845"/>
    </row>
    <row r="4" spans="1:11" ht="15">
      <c r="A4" s="153"/>
      <c r="B4" s="153"/>
      <c r="C4" s="153"/>
      <c r="D4" s="153"/>
      <c r="E4" s="153"/>
      <c r="F4" s="153"/>
      <c r="G4" s="153"/>
      <c r="H4" s="153"/>
      <c r="I4" s="153"/>
      <c r="J4" s="153"/>
      <c r="K4" s="153"/>
    </row>
    <row r="5" spans="1:3" ht="22.5" customHeight="1">
      <c r="A5" s="164" t="s">
        <v>829</v>
      </c>
      <c r="B5" s="164"/>
      <c r="C5" s="164"/>
    </row>
    <row r="6" spans="1:3" ht="21.75" customHeight="1">
      <c r="A6" s="164"/>
      <c r="B6" s="164"/>
      <c r="C6" s="164"/>
    </row>
    <row r="7" ht="15">
      <c r="K7" s="168" t="s">
        <v>384</v>
      </c>
    </row>
    <row r="8" spans="1:11" ht="30" customHeight="1">
      <c r="A8" s="1846" t="s">
        <v>172</v>
      </c>
      <c r="B8" s="184" t="s">
        <v>818</v>
      </c>
      <c r="C8" s="156" t="s">
        <v>819</v>
      </c>
      <c r="D8" s="156" t="s">
        <v>820</v>
      </c>
      <c r="E8" s="184" t="s">
        <v>821</v>
      </c>
      <c r="F8" s="184" t="s">
        <v>822</v>
      </c>
      <c r="G8" s="184" t="s">
        <v>808</v>
      </c>
      <c r="H8" s="184" t="s">
        <v>809</v>
      </c>
      <c r="I8" s="184" t="s">
        <v>1067</v>
      </c>
      <c r="J8" s="184" t="s">
        <v>823</v>
      </c>
      <c r="K8" s="1848" t="s">
        <v>166</v>
      </c>
    </row>
    <row r="9" spans="1:11" ht="30" customHeight="1">
      <c r="A9" s="1847"/>
      <c r="B9" s="1850" t="s">
        <v>824</v>
      </c>
      <c r="C9" s="1850"/>
      <c r="D9" s="1850"/>
      <c r="E9" s="1850"/>
      <c r="F9" s="1850"/>
      <c r="G9" s="1850"/>
      <c r="H9" s="360" t="s">
        <v>810</v>
      </c>
      <c r="I9" s="1850" t="s">
        <v>525</v>
      </c>
      <c r="J9" s="1850"/>
      <c r="K9" s="1849"/>
    </row>
    <row r="10" spans="1:11" s="185" customFormat="1" ht="30" customHeight="1">
      <c r="A10" s="171" t="s">
        <v>70</v>
      </c>
      <c r="B10" s="172">
        <f aca="true" t="shared" si="0" ref="B10:K10">SUM(B12:B13)</f>
        <v>0</v>
      </c>
      <c r="C10" s="172">
        <f t="shared" si="0"/>
        <v>0</v>
      </c>
      <c r="D10" s="172">
        <f t="shared" si="0"/>
        <v>0</v>
      </c>
      <c r="E10" s="172">
        <f t="shared" si="0"/>
        <v>926385</v>
      </c>
      <c r="F10" s="172">
        <f t="shared" si="0"/>
        <v>1731714</v>
      </c>
      <c r="G10" s="172">
        <f t="shared" si="0"/>
        <v>213526</v>
      </c>
      <c r="H10" s="172">
        <f t="shared" si="0"/>
        <v>248263</v>
      </c>
      <c r="I10" s="172">
        <f t="shared" si="0"/>
        <v>1920</v>
      </c>
      <c r="J10" s="172">
        <f t="shared" si="0"/>
        <v>0</v>
      </c>
      <c r="K10" s="183">
        <f t="shared" si="0"/>
        <v>3121808</v>
      </c>
    </row>
    <row r="11" spans="1:11" ht="30" customHeight="1">
      <c r="A11" s="174" t="s">
        <v>71</v>
      </c>
      <c r="B11" s="997"/>
      <c r="C11" s="997"/>
      <c r="D11" s="998"/>
      <c r="E11" s="999"/>
      <c r="F11" s="999"/>
      <c r="G11" s="999"/>
      <c r="H11" s="999"/>
      <c r="I11" s="999"/>
      <c r="J11" s="1000"/>
      <c r="K11" s="1001"/>
    </row>
    <row r="12" spans="1:11" ht="30" customHeight="1">
      <c r="A12" s="181" t="s">
        <v>825</v>
      </c>
      <c r="B12" s="1002"/>
      <c r="C12" s="1002"/>
      <c r="D12" s="157"/>
      <c r="E12" s="1003">
        <v>679006</v>
      </c>
      <c r="F12" s="1003">
        <v>834105</v>
      </c>
      <c r="G12" s="1003">
        <v>87986</v>
      </c>
      <c r="H12" s="1003">
        <v>172663</v>
      </c>
      <c r="I12" s="1003"/>
      <c r="J12" s="186"/>
      <c r="K12" s="187">
        <f>SUM(D12:J12)</f>
        <v>1773760</v>
      </c>
    </row>
    <row r="13" spans="1:11" ht="30" customHeight="1">
      <c r="A13" s="181" t="s">
        <v>826</v>
      </c>
      <c r="B13" s="1002"/>
      <c r="C13" s="1002"/>
      <c r="D13" s="186"/>
      <c r="E13" s="182">
        <v>247379</v>
      </c>
      <c r="F13" s="182">
        <v>897609</v>
      </c>
      <c r="G13" s="182">
        <v>125540</v>
      </c>
      <c r="H13" s="182">
        <v>75600</v>
      </c>
      <c r="I13" s="182">
        <v>1920</v>
      </c>
      <c r="J13" s="186"/>
      <c r="K13" s="187">
        <f>SUM(D13:J13)</f>
        <v>1348048</v>
      </c>
    </row>
    <row r="14" spans="1:11" ht="30" customHeight="1">
      <c r="A14" s="181" t="s">
        <v>814</v>
      </c>
      <c r="B14" s="1002"/>
      <c r="C14" s="1002"/>
      <c r="D14" s="186"/>
      <c r="E14" s="182">
        <v>125028</v>
      </c>
      <c r="F14" s="182">
        <v>149032</v>
      </c>
      <c r="G14" s="182">
        <v>17287</v>
      </c>
      <c r="H14" s="182">
        <v>30376</v>
      </c>
      <c r="I14" s="182">
        <v>12822</v>
      </c>
      <c r="J14" s="186"/>
      <c r="K14" s="187">
        <f>SUM(D14:J14)</f>
        <v>334545</v>
      </c>
    </row>
    <row r="15" spans="1:11" ht="30" customHeight="1">
      <c r="A15" s="188" t="s">
        <v>815</v>
      </c>
      <c r="B15" s="189">
        <f aca="true" t="shared" si="1" ref="B15:K15">SUM(B12:B14)</f>
        <v>0</v>
      </c>
      <c r="C15" s="189">
        <f t="shared" si="1"/>
        <v>0</v>
      </c>
      <c r="D15" s="189">
        <f t="shared" si="1"/>
        <v>0</v>
      </c>
      <c r="E15" s="189">
        <f t="shared" si="1"/>
        <v>1051413</v>
      </c>
      <c r="F15" s="189">
        <f t="shared" si="1"/>
        <v>1880746</v>
      </c>
      <c r="G15" s="189">
        <f t="shared" si="1"/>
        <v>230813</v>
      </c>
      <c r="H15" s="189">
        <f t="shared" si="1"/>
        <v>278639</v>
      </c>
      <c r="I15" s="189">
        <f t="shared" si="1"/>
        <v>14742</v>
      </c>
      <c r="J15" s="189">
        <f t="shared" si="1"/>
        <v>0</v>
      </c>
      <c r="K15" s="187">
        <f t="shared" si="1"/>
        <v>3456353</v>
      </c>
    </row>
    <row r="16" spans="1:11" ht="30" customHeight="1">
      <c r="A16" s="181" t="s">
        <v>73</v>
      </c>
      <c r="B16" s="186">
        <v>91914</v>
      </c>
      <c r="C16" s="186">
        <v>60674</v>
      </c>
      <c r="D16" s="186">
        <v>35309</v>
      </c>
      <c r="E16" s="182">
        <v>73359</v>
      </c>
      <c r="F16" s="182">
        <v>66425</v>
      </c>
      <c r="G16" s="182">
        <v>53838</v>
      </c>
      <c r="H16" s="182">
        <v>97685</v>
      </c>
      <c r="I16" s="182">
        <v>22217</v>
      </c>
      <c r="J16" s="186">
        <v>20000</v>
      </c>
      <c r="K16" s="187">
        <f>SUM(B16:J16)</f>
        <v>521421</v>
      </c>
    </row>
    <row r="17" spans="1:11" ht="30" customHeight="1">
      <c r="A17" s="1004" t="s">
        <v>827</v>
      </c>
      <c r="B17" s="1005">
        <f aca="true" t="shared" si="2" ref="B17:J17">SUM(B16)</f>
        <v>91914</v>
      </c>
      <c r="C17" s="1005">
        <f t="shared" si="2"/>
        <v>60674</v>
      </c>
      <c r="D17" s="1006">
        <f t="shared" si="2"/>
        <v>35309</v>
      </c>
      <c r="E17" s="1005">
        <f t="shared" si="2"/>
        <v>73359</v>
      </c>
      <c r="F17" s="1005">
        <f t="shared" si="2"/>
        <v>66425</v>
      </c>
      <c r="G17" s="1005">
        <f t="shared" si="2"/>
        <v>53838</v>
      </c>
      <c r="H17" s="1005">
        <f t="shared" si="2"/>
        <v>97685</v>
      </c>
      <c r="I17" s="1005">
        <f t="shared" si="2"/>
        <v>22217</v>
      </c>
      <c r="J17" s="1005">
        <f t="shared" si="2"/>
        <v>20000</v>
      </c>
      <c r="K17" s="1007">
        <f>SUM(B17:J17)</f>
        <v>521421</v>
      </c>
    </row>
    <row r="18" spans="1:11" ht="30" customHeight="1">
      <c r="A18" s="171" t="s">
        <v>72</v>
      </c>
      <c r="B18" s="172">
        <f aca="true" t="shared" si="3" ref="B18:K18">SUM(B15,B17)</f>
        <v>91914</v>
      </c>
      <c r="C18" s="172">
        <f t="shared" si="3"/>
        <v>60674</v>
      </c>
      <c r="D18" s="172">
        <f t="shared" si="3"/>
        <v>35309</v>
      </c>
      <c r="E18" s="172">
        <f t="shared" si="3"/>
        <v>1124772</v>
      </c>
      <c r="F18" s="172">
        <f t="shared" si="3"/>
        <v>1947171</v>
      </c>
      <c r="G18" s="172">
        <f t="shared" si="3"/>
        <v>284651</v>
      </c>
      <c r="H18" s="172">
        <f t="shared" si="3"/>
        <v>376324</v>
      </c>
      <c r="I18" s="172">
        <f t="shared" si="3"/>
        <v>36959</v>
      </c>
      <c r="J18" s="172">
        <f t="shared" si="3"/>
        <v>20000</v>
      </c>
      <c r="K18" s="183">
        <f t="shared" si="3"/>
        <v>3977774</v>
      </c>
    </row>
  </sheetData>
  <mergeCells count="7">
    <mergeCell ref="J1:K1"/>
    <mergeCell ref="A3:K3"/>
    <mergeCell ref="A8:A9"/>
    <mergeCell ref="K8:K9"/>
    <mergeCell ref="B9:G9"/>
    <mergeCell ref="I9:J9"/>
    <mergeCell ref="A2:K2"/>
  </mergeCells>
  <printOptions horizontalCentered="1"/>
  <pageMargins left="0.3937007874015748" right="0.3937007874015748" top="0.3937007874015748" bottom="0.3937007874015748" header="0.67" footer="0.5118110236220472"/>
  <pageSetup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43"/>
  </sheetPr>
  <dimension ref="A3:M16"/>
  <sheetViews>
    <sheetView workbookViewId="0" topLeftCell="A1">
      <selection activeCell="F58" sqref="F58"/>
    </sheetView>
  </sheetViews>
  <sheetFormatPr defaultColWidth="9.140625" defaultRowHeight="12.75"/>
  <cols>
    <col min="1" max="1" width="54.140625" style="167" customWidth="1"/>
    <col min="2" max="2" width="19.7109375" style="167" customWidth="1"/>
    <col min="3" max="5" width="18.7109375" style="167" customWidth="1"/>
    <col min="6" max="7" width="9.140625" style="167" customWidth="1"/>
    <col min="8" max="8" width="12.28125" style="167" customWidth="1"/>
    <col min="9" max="16384" width="9.140625" style="167" customWidth="1"/>
  </cols>
  <sheetData>
    <row r="3" spans="1:5" ht="15">
      <c r="A3" s="164" t="s">
        <v>816</v>
      </c>
      <c r="B3" s="165"/>
      <c r="C3" s="166"/>
      <c r="D3" s="166"/>
      <c r="E3" s="165"/>
    </row>
    <row r="4" spans="1:5" ht="15">
      <c r="A4" s="164"/>
      <c r="B4" s="165"/>
      <c r="C4" s="166"/>
      <c r="D4" s="166"/>
      <c r="E4" s="165"/>
    </row>
    <row r="5" spans="1:5" ht="15">
      <c r="A5" s="165"/>
      <c r="B5" s="165"/>
      <c r="C5" s="168"/>
      <c r="D5" s="168"/>
      <c r="E5" s="1365" t="s">
        <v>384</v>
      </c>
    </row>
    <row r="6" spans="1:5" ht="15">
      <c r="A6" s="1852" t="s">
        <v>172</v>
      </c>
      <c r="B6" s="169" t="s">
        <v>808</v>
      </c>
      <c r="C6" s="169" t="s">
        <v>809</v>
      </c>
      <c r="D6" s="169" t="s">
        <v>1067</v>
      </c>
      <c r="E6" s="1854" t="s">
        <v>166</v>
      </c>
    </row>
    <row r="7" spans="1:5" ht="15">
      <c r="A7" s="1853"/>
      <c r="B7" s="170" t="s">
        <v>824</v>
      </c>
      <c r="C7" s="170" t="s">
        <v>810</v>
      </c>
      <c r="D7" s="170" t="s">
        <v>525</v>
      </c>
      <c r="E7" s="1855"/>
    </row>
    <row r="8" spans="1:5" ht="28.5" customHeight="1">
      <c r="A8" s="171" t="s">
        <v>70</v>
      </c>
      <c r="B8" s="172">
        <v>244175</v>
      </c>
      <c r="C8" s="172">
        <v>342082</v>
      </c>
      <c r="D8" s="172">
        <v>458643</v>
      </c>
      <c r="E8" s="173">
        <f>SUM(B8:D8)</f>
        <v>1044900</v>
      </c>
    </row>
    <row r="9" spans="1:8" ht="28.5" customHeight="1">
      <c r="A9" s="174" t="s">
        <v>71</v>
      </c>
      <c r="B9" s="175"/>
      <c r="C9" s="176"/>
      <c r="D9" s="176"/>
      <c r="E9" s="177"/>
      <c r="H9" s="990"/>
    </row>
    <row r="10" spans="1:10" ht="28.5" customHeight="1">
      <c r="A10" s="178" t="s">
        <v>811</v>
      </c>
      <c r="B10" s="179">
        <v>99857</v>
      </c>
      <c r="C10" s="179">
        <v>707361</v>
      </c>
      <c r="D10" s="179"/>
      <c r="E10" s="180">
        <f>SUM(B10:D10)</f>
        <v>807218</v>
      </c>
      <c r="I10" s="991"/>
      <c r="J10" s="991"/>
    </row>
    <row r="11" spans="1:10" ht="28.5" customHeight="1">
      <c r="A11" s="178" t="s">
        <v>812</v>
      </c>
      <c r="B11" s="179">
        <v>19976</v>
      </c>
      <c r="C11" s="179">
        <v>141506</v>
      </c>
      <c r="D11" s="179"/>
      <c r="E11" s="180">
        <f>SUM(B11:D11)</f>
        <v>161482</v>
      </c>
      <c r="I11" s="991"/>
      <c r="J11" s="991"/>
    </row>
    <row r="12" spans="1:13" ht="28.5" customHeight="1">
      <c r="A12" s="178" t="s">
        <v>813</v>
      </c>
      <c r="B12" s="179">
        <v>9426</v>
      </c>
      <c r="C12" s="179">
        <v>66774</v>
      </c>
      <c r="D12" s="148"/>
      <c r="E12" s="180">
        <f>SUM(B12:D12)</f>
        <v>76200</v>
      </c>
      <c r="J12" s="991"/>
      <c r="M12" s="991"/>
    </row>
    <row r="13" spans="1:13" ht="28.5" customHeight="1">
      <c r="A13" s="181" t="s">
        <v>814</v>
      </c>
      <c r="B13" s="179">
        <v>7275</v>
      </c>
      <c r="C13" s="179">
        <f>51525+38635</f>
        <v>90160</v>
      </c>
      <c r="D13" s="182">
        <v>258550</v>
      </c>
      <c r="E13" s="180">
        <f>SUM(B13:D13)</f>
        <v>355985</v>
      </c>
      <c r="J13" s="991"/>
      <c r="M13" s="991"/>
    </row>
    <row r="14" spans="1:10" ht="28.5" customHeight="1">
      <c r="A14" s="188" t="s">
        <v>815</v>
      </c>
      <c r="B14" s="189">
        <f>SUM(B10:B13)</f>
        <v>136534</v>
      </c>
      <c r="C14" s="189">
        <f>SUM(C10:C13)</f>
        <v>1005801</v>
      </c>
      <c r="D14" s="189">
        <f>SUM(D10:D13)</f>
        <v>258550</v>
      </c>
      <c r="E14" s="992">
        <f>SUM(E10:E13)</f>
        <v>1400885</v>
      </c>
      <c r="I14" s="991"/>
      <c r="J14" s="991"/>
    </row>
    <row r="15" spans="1:5" ht="28.5" customHeight="1">
      <c r="A15" s="993" t="s">
        <v>827</v>
      </c>
      <c r="B15" s="994"/>
      <c r="C15" s="995">
        <f>312915</f>
        <v>312915</v>
      </c>
      <c r="D15" s="995">
        <v>92919</v>
      </c>
      <c r="E15" s="996">
        <f>SUM(C15:D15)</f>
        <v>405834</v>
      </c>
    </row>
    <row r="16" spans="1:5" ht="28.5" customHeight="1">
      <c r="A16" s="171" t="s">
        <v>72</v>
      </c>
      <c r="B16" s="172">
        <f>SUM(B14:B15)</f>
        <v>136534</v>
      </c>
      <c r="C16" s="172">
        <f>SUM(C14:C15)</f>
        <v>1318716</v>
      </c>
      <c r="D16" s="172">
        <f>SUM(D14:D15)</f>
        <v>351469</v>
      </c>
      <c r="E16" s="183">
        <f>SUM(E14:E15)</f>
        <v>1806719</v>
      </c>
    </row>
  </sheetData>
  <mergeCells count="2">
    <mergeCell ref="A6:A7"/>
    <mergeCell ref="E6:E7"/>
  </mergeCells>
  <printOptions horizontalCentered="1"/>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sheetPr codeName="Munka20">
    <tabColor indexed="43"/>
  </sheetPr>
  <dimension ref="A1:O41"/>
  <sheetViews>
    <sheetView zoomScale="80" zoomScaleNormal="80" workbookViewId="0" topLeftCell="A16">
      <selection activeCell="F58" sqref="F58"/>
    </sheetView>
  </sheetViews>
  <sheetFormatPr defaultColWidth="9.140625" defaultRowHeight="12.75"/>
  <cols>
    <col min="1" max="1" width="28.00390625" style="4" customWidth="1"/>
    <col min="2" max="2" width="14.00390625" style="5" customWidth="1"/>
    <col min="3" max="4" width="13.28125" style="5" customWidth="1"/>
    <col min="5" max="5" width="30.8515625" style="5" customWidth="1"/>
    <col min="6" max="6" width="13.57421875" style="7" customWidth="1"/>
    <col min="7" max="8" width="13.28125" style="5" customWidth="1"/>
    <col min="9" max="9" width="12.57421875" style="5" bestFit="1" customWidth="1"/>
    <col min="10" max="15" width="9.140625" style="7" customWidth="1"/>
    <col min="16" max="16384" width="9.140625" style="5" customWidth="1"/>
  </cols>
  <sheetData>
    <row r="1" spans="1:8" ht="21.75" customHeight="1">
      <c r="A1" s="419"/>
      <c r="B1" s="420"/>
      <c r="C1" s="420"/>
      <c r="D1" s="420"/>
      <c r="E1" s="420"/>
      <c r="F1" s="421"/>
      <c r="G1" s="1857" t="s">
        <v>397</v>
      </c>
      <c r="H1" s="1857"/>
    </row>
    <row r="2" spans="1:9" ht="22.5" customHeight="1">
      <c r="A2" s="1856" t="s">
        <v>1428</v>
      </c>
      <c r="B2" s="1856"/>
      <c r="C2" s="1856"/>
      <c r="D2" s="1856"/>
      <c r="E2" s="1856"/>
      <c r="F2" s="1856"/>
      <c r="G2" s="1856"/>
      <c r="H2" s="1856"/>
      <c r="I2" s="135"/>
    </row>
    <row r="3" spans="1:9" ht="18.75" customHeight="1">
      <c r="A3" s="1856" t="s">
        <v>85</v>
      </c>
      <c r="B3" s="1856"/>
      <c r="C3" s="1856"/>
      <c r="D3" s="1856"/>
      <c r="E3" s="1856"/>
      <c r="F3" s="1856"/>
      <c r="G3" s="1856"/>
      <c r="H3" s="1856"/>
      <c r="I3" s="135"/>
    </row>
    <row r="4" spans="1:9" ht="15.75">
      <c r="A4" s="423"/>
      <c r="B4" s="424"/>
      <c r="C4" s="424"/>
      <c r="D4" s="424"/>
      <c r="E4" s="424"/>
      <c r="F4" s="1862" t="s">
        <v>384</v>
      </c>
      <c r="G4" s="1862"/>
      <c r="H4" s="1862"/>
      <c r="I4" s="135"/>
    </row>
    <row r="5" spans="1:9" ht="24" customHeight="1">
      <c r="A5" s="1858" t="s">
        <v>86</v>
      </c>
      <c r="B5" s="1859"/>
      <c r="C5" s="1859"/>
      <c r="D5" s="1860"/>
      <c r="E5" s="1861" t="s">
        <v>87</v>
      </c>
      <c r="F5" s="1859"/>
      <c r="G5" s="1859"/>
      <c r="H5" s="1860"/>
      <c r="I5" s="134"/>
    </row>
    <row r="6" spans="1:15" s="1" customFormat="1" ht="35.25" customHeight="1">
      <c r="A6" s="425" t="s">
        <v>172</v>
      </c>
      <c r="B6" s="426" t="s">
        <v>1181</v>
      </c>
      <c r="C6" s="426" t="s">
        <v>1498</v>
      </c>
      <c r="D6" s="427" t="s">
        <v>546</v>
      </c>
      <c r="E6" s="428" t="s">
        <v>172</v>
      </c>
      <c r="F6" s="426" t="s">
        <v>1181</v>
      </c>
      <c r="G6" s="426" t="s">
        <v>1498</v>
      </c>
      <c r="H6" s="427" t="s">
        <v>546</v>
      </c>
      <c r="I6" s="137"/>
      <c r="J6" s="6"/>
      <c r="K6" s="6"/>
      <c r="L6" s="6"/>
      <c r="M6" s="6"/>
      <c r="N6" s="6"/>
      <c r="O6" s="6"/>
    </row>
    <row r="7" spans="1:9" ht="31.5" customHeight="1">
      <c r="A7" s="429" t="s">
        <v>88</v>
      </c>
      <c r="B7" s="431">
        <v>6241809</v>
      </c>
      <c r="C7" s="431">
        <v>5795145</v>
      </c>
      <c r="D7" s="432">
        <f>SUM('1. sz. melléklet'!B10,'1. sz. melléklet'!B13,'1. sz. melléklet'!B14,'1. sz. melléklet'!B26)</f>
        <v>6081086.792101121</v>
      </c>
      <c r="E7" s="433" t="s">
        <v>89</v>
      </c>
      <c r="F7" s="430">
        <v>7905541</v>
      </c>
      <c r="G7" s="434">
        <v>7560379</v>
      </c>
      <c r="H7" s="435">
        <f>'1. sz. melléklet'!D39</f>
        <v>7190984</v>
      </c>
      <c r="I7" s="138"/>
    </row>
    <row r="8" spans="1:9" ht="31.5" customHeight="1">
      <c r="A8" s="436" t="s">
        <v>90</v>
      </c>
      <c r="B8" s="437">
        <v>2997420</v>
      </c>
      <c r="C8" s="437">
        <v>2713032</v>
      </c>
      <c r="D8" s="438">
        <f>SUM('1. sz. melléklet'!B19)</f>
        <v>2006581</v>
      </c>
      <c r="E8" s="439" t="s">
        <v>91</v>
      </c>
      <c r="F8" s="437">
        <v>2509424</v>
      </c>
      <c r="G8" s="440">
        <v>2477447</v>
      </c>
      <c r="H8" s="441">
        <f>'1. sz. melléklet'!D40</f>
        <v>2331113</v>
      </c>
      <c r="I8" s="138"/>
    </row>
    <row r="9" spans="1:9" ht="31.5" customHeight="1">
      <c r="A9" s="436" t="s">
        <v>92</v>
      </c>
      <c r="B9" s="437">
        <v>707631</v>
      </c>
      <c r="C9" s="437">
        <v>97886</v>
      </c>
      <c r="D9" s="438">
        <f>SUM('1. sz. melléklet'!B44)-'1. sz. melléklet'!B45</f>
        <v>60472</v>
      </c>
      <c r="E9" s="439" t="s">
        <v>93</v>
      </c>
      <c r="F9" s="437">
        <v>5810895</v>
      </c>
      <c r="G9" s="440">
        <v>5051081</v>
      </c>
      <c r="H9" s="441">
        <f>SUM('1. sz. melléklet'!D41)-'3.1. terv alapegys'!C10+'1. sz. melléklet'!D29</f>
        <v>4803023</v>
      </c>
      <c r="I9" s="138"/>
    </row>
    <row r="10" spans="1:9" ht="31.5" customHeight="1">
      <c r="A10" s="436" t="s">
        <v>94</v>
      </c>
      <c r="B10" s="437">
        <v>7151907</v>
      </c>
      <c r="C10" s="437">
        <v>6329212</v>
      </c>
      <c r="D10" s="438">
        <f>SUM('1. sz. melléklet'!B30)</f>
        <v>6560255</v>
      </c>
      <c r="E10" s="439" t="s">
        <v>157</v>
      </c>
      <c r="F10" s="437">
        <v>36882</v>
      </c>
      <c r="G10" s="440">
        <v>28900</v>
      </c>
      <c r="H10" s="441">
        <f>'1. sz. melléklet'!D45</f>
        <v>26200</v>
      </c>
      <c r="I10" s="138"/>
    </row>
    <row r="11" spans="1:9" ht="31.5" customHeight="1">
      <c r="A11" s="436" t="s">
        <v>145</v>
      </c>
      <c r="B11" s="437">
        <v>773118</v>
      </c>
      <c r="C11" s="437"/>
      <c r="D11" s="438">
        <f>'1. sz. melléklet'!B56</f>
        <v>0</v>
      </c>
      <c r="E11" s="439" t="s">
        <v>147</v>
      </c>
      <c r="F11" s="437"/>
      <c r="G11" s="440"/>
      <c r="H11" s="441"/>
      <c r="I11" s="138"/>
    </row>
    <row r="12" spans="1:9" ht="31.5" customHeight="1">
      <c r="A12" s="436" t="s">
        <v>95</v>
      </c>
      <c r="B12" s="437"/>
      <c r="C12" s="437">
        <v>13700</v>
      </c>
      <c r="D12" s="438">
        <f>'1. sz. melléklet'!B52</f>
        <v>11700</v>
      </c>
      <c r="E12" s="439" t="s">
        <v>409</v>
      </c>
      <c r="F12" s="437">
        <v>1649019</v>
      </c>
      <c r="G12" s="440">
        <v>1044294</v>
      </c>
      <c r="H12" s="441">
        <f>'1. sz. melléklet'!D46</f>
        <v>1469544</v>
      </c>
      <c r="I12" s="138"/>
    </row>
    <row r="13" spans="1:9" ht="31.5" customHeight="1">
      <c r="A13" s="442" t="s">
        <v>97</v>
      </c>
      <c r="B13" s="437">
        <v>278386</v>
      </c>
      <c r="C13" s="437">
        <v>234285</v>
      </c>
      <c r="D13" s="438">
        <f>'1. sz. melléklet'!B45</f>
        <v>202404</v>
      </c>
      <c r="E13" s="439" t="s">
        <v>98</v>
      </c>
      <c r="F13" s="437">
        <v>290954</v>
      </c>
      <c r="G13" s="440">
        <v>190580</v>
      </c>
      <c r="H13" s="441">
        <f>SUM('3.1. terv alapegys'!C27)</f>
        <v>115950</v>
      </c>
      <c r="I13" s="138"/>
    </row>
    <row r="14" spans="1:9" ht="31.5" customHeight="1">
      <c r="A14" s="442" t="str">
        <f>' 1.c. bevétel'!B65</f>
        <v>Kötvény kamat igénybevétel</v>
      </c>
      <c r="B14" s="437"/>
      <c r="C14" s="437"/>
      <c r="D14" s="438">
        <f>SUM(' 1.c. bevétel'!C65)</f>
        <v>500000</v>
      </c>
      <c r="E14" s="439" t="s">
        <v>99</v>
      </c>
      <c r="F14" s="437"/>
      <c r="G14" s="440">
        <v>1199557</v>
      </c>
      <c r="H14" s="441">
        <f>'1. sz. melléklet'!D19+'3.1. terv alapegys'!C242</f>
        <v>643724</v>
      </c>
      <c r="I14" s="138"/>
    </row>
    <row r="15" spans="1:9" ht="31.5" customHeight="1">
      <c r="A15" s="443" t="s">
        <v>100</v>
      </c>
      <c r="B15" s="444">
        <v>4536910</v>
      </c>
      <c r="C15" s="444"/>
      <c r="D15" s="445"/>
      <c r="E15" s="446" t="s">
        <v>100</v>
      </c>
      <c r="F15" s="444">
        <v>4253533</v>
      </c>
      <c r="G15" s="447"/>
      <c r="H15" s="448">
        <f>'1. sz. melléklet'!D61</f>
        <v>0</v>
      </c>
      <c r="I15" s="134"/>
    </row>
    <row r="16" spans="1:9" ht="24.75" customHeight="1">
      <c r="A16" s="449" t="s">
        <v>101</v>
      </c>
      <c r="B16" s="450">
        <f>SUM(B7:B15)</f>
        <v>22687181</v>
      </c>
      <c r="C16" s="450">
        <f>SUM(C7:C15)</f>
        <v>15183260</v>
      </c>
      <c r="D16" s="451">
        <f>SUM(D7:D15)</f>
        <v>15422498.79210112</v>
      </c>
      <c r="E16" s="452" t="s">
        <v>101</v>
      </c>
      <c r="F16" s="450">
        <f>SUM(F7:F15)</f>
        <v>22456248</v>
      </c>
      <c r="G16" s="450">
        <f>SUM(G7:G15)</f>
        <v>17552238</v>
      </c>
      <c r="H16" s="451">
        <f>SUM(H7:H15)</f>
        <v>16580538</v>
      </c>
      <c r="I16" s="134"/>
    </row>
    <row r="17" spans="1:9" ht="22.5" customHeight="1">
      <c r="A17" s="453" t="s">
        <v>102</v>
      </c>
      <c r="B17" s="454" t="str">
        <f>IF(((F16-B16)&gt;0),F16-B16,"----")</f>
        <v>----</v>
      </c>
      <c r="C17" s="455">
        <f>IF(((G16-C16)&gt;0),G16-C16,"----")</f>
        <v>2368978</v>
      </c>
      <c r="D17" s="456">
        <f>IF(((H16-D16)&gt;0),H16-D16,"----")</f>
        <v>1158039.2078988794</v>
      </c>
      <c r="E17" s="457" t="s">
        <v>103</v>
      </c>
      <c r="F17" s="455">
        <f>IF(((B16-F16)&gt;0),B16-F16,"----")</f>
        <v>230933</v>
      </c>
      <c r="G17" s="454" t="str">
        <f>IF(((C16-G16)&gt;0),C16-G16,"----")</f>
        <v>----</v>
      </c>
      <c r="H17" s="458" t="str">
        <f>IF(((D16-H16)&gt;0),D16-H16,"----")</f>
        <v>----</v>
      </c>
      <c r="I17" s="134"/>
    </row>
    <row r="18" spans="1:9" ht="15.75">
      <c r="A18" s="1863"/>
      <c r="B18" s="1863"/>
      <c r="C18" s="1863"/>
      <c r="D18" s="1863"/>
      <c r="E18" s="1863"/>
      <c r="F18" s="1863"/>
      <c r="G18" s="424"/>
      <c r="H18" s="424"/>
      <c r="I18" s="135"/>
    </row>
    <row r="19" spans="1:9" ht="21" customHeight="1">
      <c r="A19" s="423"/>
      <c r="B19" s="424"/>
      <c r="C19" s="424"/>
      <c r="D19" s="424"/>
      <c r="E19" s="424"/>
      <c r="F19" s="459"/>
      <c r="G19" s="1864" t="s">
        <v>396</v>
      </c>
      <c r="H19" s="1864"/>
      <c r="I19" s="135"/>
    </row>
    <row r="20" spans="1:9" ht="15.75" customHeight="1">
      <c r="A20" s="1856" t="s">
        <v>1428</v>
      </c>
      <c r="B20" s="1856"/>
      <c r="C20" s="1856"/>
      <c r="D20" s="1856"/>
      <c r="E20" s="1856"/>
      <c r="F20" s="1856"/>
      <c r="G20" s="1856"/>
      <c r="H20" s="1856"/>
      <c r="I20" s="135"/>
    </row>
    <row r="21" spans="1:9" ht="21" customHeight="1">
      <c r="A21" s="1856" t="s">
        <v>104</v>
      </c>
      <c r="B21" s="1856"/>
      <c r="C21" s="1856"/>
      <c r="D21" s="1856"/>
      <c r="E21" s="1856"/>
      <c r="F21" s="1856"/>
      <c r="G21" s="1856"/>
      <c r="H21" s="1856"/>
      <c r="I21" s="135"/>
    </row>
    <row r="22" spans="1:9" ht="21" customHeight="1">
      <c r="A22" s="422"/>
      <c r="B22" s="422"/>
      <c r="C22" s="422"/>
      <c r="D22" s="422"/>
      <c r="E22" s="422"/>
      <c r="F22" s="422"/>
      <c r="G22" s="424"/>
      <c r="H22" s="424"/>
      <c r="I22" s="135"/>
    </row>
    <row r="23" spans="1:9" ht="15.75">
      <c r="A23" s="423"/>
      <c r="B23" s="424"/>
      <c r="C23" s="424"/>
      <c r="D23" s="424"/>
      <c r="E23" s="424"/>
      <c r="F23" s="1862" t="s">
        <v>384</v>
      </c>
      <c r="G23" s="1862"/>
      <c r="H23" s="1862"/>
      <c r="I23" s="135"/>
    </row>
    <row r="24" spans="1:9" ht="24" customHeight="1">
      <c r="A24" s="1858" t="s">
        <v>86</v>
      </c>
      <c r="B24" s="1859"/>
      <c r="C24" s="1859"/>
      <c r="D24" s="1860"/>
      <c r="E24" s="1861" t="s">
        <v>87</v>
      </c>
      <c r="F24" s="1859"/>
      <c r="G24" s="1859"/>
      <c r="H24" s="1860"/>
      <c r="I24" s="139"/>
    </row>
    <row r="25" spans="1:15" s="1" customFormat="1" ht="35.25" customHeight="1">
      <c r="A25" s="425" t="s">
        <v>172</v>
      </c>
      <c r="B25" s="426" t="s">
        <v>1181</v>
      </c>
      <c r="C25" s="426" t="s">
        <v>1498</v>
      </c>
      <c r="D25" s="427" t="s">
        <v>546</v>
      </c>
      <c r="E25" s="428" t="s">
        <v>172</v>
      </c>
      <c r="F25" s="426" t="s">
        <v>1181</v>
      </c>
      <c r="G25" s="426" t="s">
        <v>1498</v>
      </c>
      <c r="H25" s="427" t="s">
        <v>546</v>
      </c>
      <c r="I25" s="137"/>
      <c r="J25" s="6"/>
      <c r="K25" s="6"/>
      <c r="L25" s="6"/>
      <c r="M25" s="6"/>
      <c r="N25" s="6"/>
      <c r="O25" s="6"/>
    </row>
    <row r="26" spans="1:9" ht="48" customHeight="1">
      <c r="A26" s="429" t="s">
        <v>105</v>
      </c>
      <c r="B26" s="430">
        <v>1342712</v>
      </c>
      <c r="C26" s="430">
        <v>986736</v>
      </c>
      <c r="D26" s="432">
        <f>'1. sz. melléklet'!B38-D32</f>
        <v>1029956</v>
      </c>
      <c r="E26" s="433" t="s">
        <v>161</v>
      </c>
      <c r="F26" s="430">
        <v>5807305</v>
      </c>
      <c r="G26" s="434">
        <v>2686219</v>
      </c>
      <c r="H26" s="435">
        <f>SUM('1. sz. melléklet'!D49,'1. sz. melléklet'!D51)</f>
        <v>2542768</v>
      </c>
      <c r="I26" s="134"/>
    </row>
    <row r="27" spans="1:9" ht="44.25" customHeight="1">
      <c r="A27" s="436" t="s">
        <v>106</v>
      </c>
      <c r="B27" s="437">
        <v>1489445</v>
      </c>
      <c r="C27" s="437">
        <v>407101</v>
      </c>
      <c r="D27" s="438">
        <f>'1. sz. melléklet'!B36</f>
        <v>0</v>
      </c>
      <c r="E27" s="439" t="s">
        <v>107</v>
      </c>
      <c r="F27" s="437">
        <v>277530</v>
      </c>
      <c r="G27" s="440">
        <v>1025469</v>
      </c>
      <c r="H27" s="441">
        <f>SUM('1. sz. melléklet'!D50)</f>
        <v>315725</v>
      </c>
      <c r="I27" s="15"/>
    </row>
    <row r="28" spans="1:9" ht="34.5" customHeight="1">
      <c r="A28" s="436" t="str">
        <f>' 1.c. bevétel'!B62</f>
        <v>Hitelek / Kötvény igénybevétel</v>
      </c>
      <c r="B28" s="437">
        <v>1114827</v>
      </c>
      <c r="C28" s="437">
        <v>395613</v>
      </c>
      <c r="D28" s="438">
        <f>'1. sz. melléklet'!B53</f>
        <v>2034246.25</v>
      </c>
      <c r="E28" s="439" t="s">
        <v>108</v>
      </c>
      <c r="F28" s="437">
        <v>267932</v>
      </c>
      <c r="G28" s="440">
        <v>384988</v>
      </c>
      <c r="H28" s="441">
        <f>SUM('3.1. terv alapegys'!C11,'3.1. terv alapegys'!C26)+'3.1. terv alapegys'!C28</f>
        <v>721594.203</v>
      </c>
      <c r="I28" s="15"/>
    </row>
    <row r="29" spans="1:9" ht="30.75" customHeight="1">
      <c r="A29" s="442" t="s">
        <v>146</v>
      </c>
      <c r="B29" s="437">
        <v>240718</v>
      </c>
      <c r="C29" s="437">
        <v>51286</v>
      </c>
      <c r="D29" s="438">
        <f>SUM('2.sz. intézményi'!I227,'2.sz. intézményi'!I230)</f>
        <v>32200</v>
      </c>
      <c r="E29" s="460" t="s">
        <v>99</v>
      </c>
      <c r="F29" s="437"/>
      <c r="G29" s="440">
        <v>10000</v>
      </c>
      <c r="H29" s="441">
        <f>SUM('1. sz. melléklet'!D17,'1. sz. melléklet'!D21)</f>
        <v>701130.25</v>
      </c>
      <c r="I29" s="134"/>
    </row>
    <row r="30" spans="1:9" ht="23.25" customHeight="1">
      <c r="A30" s="442" t="s">
        <v>109</v>
      </c>
      <c r="B30" s="437">
        <v>2612975</v>
      </c>
      <c r="C30" s="437">
        <v>2180696</v>
      </c>
      <c r="D30" s="438">
        <f>'1. sz. melléklet'!B47-'1. sz. melléklet'!B49</f>
        <v>951185</v>
      </c>
      <c r="E30" s="460" t="s">
        <v>114</v>
      </c>
      <c r="F30" s="437"/>
      <c r="G30" s="440"/>
      <c r="H30" s="441"/>
      <c r="I30" s="134"/>
    </row>
    <row r="31" spans="1:9" ht="23.25" customHeight="1">
      <c r="A31" s="442" t="s">
        <v>100</v>
      </c>
      <c r="B31" s="437"/>
      <c r="C31" s="437"/>
      <c r="D31" s="438"/>
      <c r="E31" s="460"/>
      <c r="F31" s="437"/>
      <c r="G31" s="440"/>
      <c r="H31" s="441"/>
      <c r="I31" s="134"/>
    </row>
    <row r="32" spans="1:9" ht="23.25" customHeight="1">
      <c r="A32" s="443" t="s">
        <v>110</v>
      </c>
      <c r="B32" s="444">
        <v>105266</v>
      </c>
      <c r="C32" s="444">
        <v>87000</v>
      </c>
      <c r="D32" s="445">
        <f>' 1.c. bevétel'!C32</f>
        <v>134600</v>
      </c>
      <c r="E32" s="446"/>
      <c r="F32" s="444"/>
      <c r="G32" s="447"/>
      <c r="H32" s="448"/>
      <c r="I32" s="134"/>
    </row>
    <row r="33" spans="1:9" ht="27" customHeight="1">
      <c r="A33" s="449" t="s">
        <v>101</v>
      </c>
      <c r="B33" s="450">
        <f>SUM(B26:B32)</f>
        <v>6905943</v>
      </c>
      <c r="C33" s="450">
        <f>SUM(C26:C32)</f>
        <v>4108432</v>
      </c>
      <c r="D33" s="451">
        <f>SUM(D26:D32)</f>
        <v>4182187.25</v>
      </c>
      <c r="E33" s="452" t="s">
        <v>101</v>
      </c>
      <c r="F33" s="450">
        <f>SUM(F26:F32)</f>
        <v>6352767</v>
      </c>
      <c r="G33" s="450">
        <f>SUM(G26:G32)</f>
        <v>4106676</v>
      </c>
      <c r="H33" s="451">
        <f>SUM(H26:H32)</f>
        <v>4281217.453</v>
      </c>
      <c r="I33" s="134"/>
    </row>
    <row r="34" spans="1:9" ht="23.25" customHeight="1">
      <c r="A34" s="453" t="s">
        <v>102</v>
      </c>
      <c r="B34" s="454" t="str">
        <f>IF(((F33-B33)&gt;0),F33-B33,"----")</f>
        <v>----</v>
      </c>
      <c r="C34" s="454" t="str">
        <f>IF(((G33-C33)&gt;0),G33-C33,"----")</f>
        <v>----</v>
      </c>
      <c r="D34" s="456">
        <f>IF(((H33-D33)&gt;0),H33-D33,"----")</f>
        <v>99030.20299999975</v>
      </c>
      <c r="E34" s="457" t="s">
        <v>103</v>
      </c>
      <c r="F34" s="455">
        <f>IF(((B33-F33)&gt;0),B33-F33,"----")</f>
        <v>553176</v>
      </c>
      <c r="G34" s="455">
        <f>IF(((C33-G33)&gt;0),C33-G33,"----")</f>
        <v>1756</v>
      </c>
      <c r="H34" s="458" t="str">
        <f>IF(((D33-H33)&gt;0),D33-H33,"----")</f>
        <v>----</v>
      </c>
      <c r="I34" s="134"/>
    </row>
    <row r="35" spans="1:9" ht="15.75">
      <c r="A35" s="423"/>
      <c r="B35" s="424"/>
      <c r="C35" s="424"/>
      <c r="D35" s="424"/>
      <c r="E35" s="424"/>
      <c r="F35" s="424"/>
      <c r="G35" s="424"/>
      <c r="H35" s="424"/>
      <c r="I35" s="133"/>
    </row>
    <row r="36" spans="1:9" ht="15.75">
      <c r="A36" s="140"/>
      <c r="B36" s="136"/>
      <c r="C36" s="136"/>
      <c r="D36" s="136"/>
      <c r="E36" s="136"/>
      <c r="F36" s="135"/>
      <c r="G36" s="133"/>
      <c r="H36" s="133"/>
      <c r="I36" s="133"/>
    </row>
    <row r="37" spans="7:9" ht="15.75">
      <c r="G37" s="8"/>
      <c r="H37" s="8"/>
      <c r="I37" s="8"/>
    </row>
    <row r="38" spans="7:9" ht="15.75">
      <c r="G38" s="8"/>
      <c r="H38" s="8"/>
      <c r="I38" s="8"/>
    </row>
    <row r="39" spans="7:9" ht="15.75">
      <c r="G39" s="8"/>
      <c r="H39" s="8"/>
      <c r="I39" s="8"/>
    </row>
    <row r="40" spans="7:9" ht="15.75">
      <c r="G40" s="8"/>
      <c r="H40" s="8"/>
      <c r="I40" s="8"/>
    </row>
    <row r="41" spans="7:9" ht="15.75">
      <c r="G41" s="8"/>
      <c r="H41" s="8"/>
      <c r="I41" s="8"/>
    </row>
  </sheetData>
  <mergeCells count="13">
    <mergeCell ref="A5:D5"/>
    <mergeCell ref="E5:H5"/>
    <mergeCell ref="G19:H19"/>
    <mergeCell ref="A2:H2"/>
    <mergeCell ref="A3:H3"/>
    <mergeCell ref="G1:H1"/>
    <mergeCell ref="A24:D24"/>
    <mergeCell ref="E24:H24"/>
    <mergeCell ref="F23:H23"/>
    <mergeCell ref="F4:H4"/>
    <mergeCell ref="A18:F18"/>
    <mergeCell ref="A20:H20"/>
    <mergeCell ref="A21:H21"/>
  </mergeCells>
  <printOptions horizontalCentered="1"/>
  <pageMargins left="0.62" right="0.68" top="0.984251968503937" bottom="0.984251968503937" header="0.5118110236220472" footer="0.5118110236220472"/>
  <pageSetup horizontalDpi="600" verticalDpi="600" orientation="landscape" paperSize="9" scale="95" r:id="rId1"/>
  <rowBreaks count="1" manualBreakCount="1">
    <brk id="18" max="9" man="1"/>
  </rowBreaks>
</worksheet>
</file>

<file path=xl/worksheets/sheet18.xml><?xml version="1.0" encoding="utf-8"?>
<worksheet xmlns="http://schemas.openxmlformats.org/spreadsheetml/2006/main" xmlns:r="http://schemas.openxmlformats.org/officeDocument/2006/relationships">
  <sheetPr codeName="Munka16">
    <tabColor indexed="43"/>
  </sheetPr>
  <dimension ref="A1:J22"/>
  <sheetViews>
    <sheetView workbookViewId="0" topLeftCell="A1">
      <selection activeCell="F58" sqref="F58"/>
    </sheetView>
  </sheetViews>
  <sheetFormatPr defaultColWidth="9.140625" defaultRowHeight="12.75"/>
  <cols>
    <col min="1" max="1" width="6.57421875" style="26" customWidth="1"/>
    <col min="2" max="2" width="29.421875" style="27" customWidth="1"/>
    <col min="3" max="3" width="17.140625" style="27" customWidth="1"/>
    <col min="4" max="4" width="11.7109375" style="27" customWidth="1"/>
    <col min="5" max="5" width="11.8515625" style="27" customWidth="1"/>
    <col min="6" max="7" width="11.00390625" style="27" customWidth="1"/>
    <col min="8" max="8" width="12.7109375" style="27" customWidth="1"/>
    <col min="9" max="9" width="13.8515625" style="27" customWidth="1"/>
    <col min="10" max="10" width="13.28125" style="27" customWidth="1"/>
    <col min="11" max="16384" width="9.140625" style="27" customWidth="1"/>
  </cols>
  <sheetData>
    <row r="1" spans="8:10" ht="25.5" customHeight="1">
      <c r="H1" s="1865" t="s">
        <v>398</v>
      </c>
      <c r="I1" s="1865"/>
      <c r="J1" s="1865"/>
    </row>
    <row r="2" spans="1:10" ht="21" customHeight="1">
      <c r="A2" s="1866" t="s">
        <v>273</v>
      </c>
      <c r="B2" s="1866"/>
      <c r="C2" s="1866"/>
      <c r="D2" s="1866"/>
      <c r="E2" s="1866"/>
      <c r="F2" s="1866"/>
      <c r="G2" s="1866"/>
      <c r="H2" s="1866"/>
      <c r="I2" s="1866"/>
      <c r="J2" s="1866"/>
    </row>
    <row r="3" spans="1:10" ht="21" customHeight="1">
      <c r="A3" s="1866" t="s">
        <v>526</v>
      </c>
      <c r="B3" s="1866"/>
      <c r="C3" s="1866"/>
      <c r="D3" s="1866"/>
      <c r="E3" s="1866"/>
      <c r="F3" s="1866"/>
      <c r="G3" s="1866"/>
      <c r="H3" s="1866"/>
      <c r="I3" s="1866"/>
      <c r="J3" s="1866"/>
    </row>
    <row r="4" spans="9:10" ht="15">
      <c r="I4" s="1867" t="s">
        <v>384</v>
      </c>
      <c r="J4" s="1867"/>
    </row>
    <row r="5" spans="1:10" s="28" customFormat="1" ht="26.25" customHeight="1">
      <c r="A5" s="1870" t="s">
        <v>527</v>
      </c>
      <c r="B5" s="1871" t="s">
        <v>1040</v>
      </c>
      <c r="C5" s="1873" t="s">
        <v>1041</v>
      </c>
      <c r="D5" s="1877" t="s">
        <v>148</v>
      </c>
      <c r="E5" s="1878"/>
      <c r="F5" s="1878"/>
      <c r="G5" s="1878"/>
      <c r="H5" s="1871"/>
      <c r="I5" s="1875" t="s">
        <v>166</v>
      </c>
      <c r="J5" s="1868" t="s">
        <v>1425</v>
      </c>
    </row>
    <row r="6" spans="1:10" s="29" customFormat="1" ht="32.25" customHeight="1">
      <c r="A6" s="1870"/>
      <c r="B6" s="1872"/>
      <c r="C6" s="1874"/>
      <c r="D6" s="1187" t="s">
        <v>746</v>
      </c>
      <c r="E6" s="1188" t="s">
        <v>894</v>
      </c>
      <c r="F6" s="1188" t="s">
        <v>895</v>
      </c>
      <c r="G6" s="1188" t="s">
        <v>832</v>
      </c>
      <c r="H6" s="1189" t="s">
        <v>1424</v>
      </c>
      <c r="I6" s="1876"/>
      <c r="J6" s="1869"/>
    </row>
    <row r="7" spans="1:10" s="29" customFormat="1" ht="32.25" customHeight="1">
      <c r="A7" s="342" t="s">
        <v>194</v>
      </c>
      <c r="B7" s="969" t="s">
        <v>771</v>
      </c>
      <c r="C7" s="956" t="s">
        <v>1042</v>
      </c>
      <c r="D7" s="955">
        <v>8551048</v>
      </c>
      <c r="E7" s="957">
        <f>SUM('5.a melléklet'!E24)</f>
        <v>115950</v>
      </c>
      <c r="F7" s="958"/>
      <c r="G7" s="958"/>
      <c r="H7" s="956"/>
      <c r="I7" s="960">
        <f>SUM(D7:H7)</f>
        <v>8666998</v>
      </c>
      <c r="J7" s="945">
        <f aca="true" t="shared" si="0" ref="J7:J12">SUM(E7:H7)</f>
        <v>115950</v>
      </c>
    </row>
    <row r="8" spans="1:10" ht="31.5" customHeight="1">
      <c r="A8" s="343" t="s">
        <v>196</v>
      </c>
      <c r="B8" s="914" t="s">
        <v>108</v>
      </c>
      <c r="C8" s="32"/>
      <c r="D8" s="943">
        <f aca="true" t="shared" si="1" ref="D8:I8">SUM(D9:D10)</f>
        <v>2742389</v>
      </c>
      <c r="E8" s="943">
        <f t="shared" si="1"/>
        <v>420585</v>
      </c>
      <c r="F8" s="943">
        <f t="shared" si="1"/>
        <v>452920</v>
      </c>
      <c r="G8" s="943">
        <f t="shared" si="1"/>
        <v>431023</v>
      </c>
      <c r="H8" s="943">
        <f t="shared" si="1"/>
        <v>3206912</v>
      </c>
      <c r="I8" s="960">
        <f t="shared" si="1"/>
        <v>7253829</v>
      </c>
      <c r="J8" s="945">
        <f t="shared" si="0"/>
        <v>4511440</v>
      </c>
    </row>
    <row r="9" spans="1:10" ht="26.25" customHeight="1">
      <c r="A9" s="344" t="s">
        <v>149</v>
      </c>
      <c r="B9" s="337" t="s">
        <v>1052</v>
      </c>
      <c r="C9" s="1158" t="s">
        <v>1053</v>
      </c>
      <c r="D9" s="944">
        <v>107366</v>
      </c>
      <c r="E9" s="944">
        <f>SUM('5.a melléklet'!I25)</f>
        <v>19272</v>
      </c>
      <c r="F9" s="944">
        <f>SUM('5.a melléklet'!L25)</f>
        <v>12291</v>
      </c>
      <c r="G9" s="944"/>
      <c r="H9" s="944"/>
      <c r="I9" s="961">
        <f>SUM(D9:H9)</f>
        <v>138929</v>
      </c>
      <c r="J9" s="945">
        <f t="shared" si="0"/>
        <v>31563</v>
      </c>
    </row>
    <row r="10" spans="1:10" ht="26.25" customHeight="1">
      <c r="A10" s="344" t="s">
        <v>150</v>
      </c>
      <c r="B10" s="337" t="s">
        <v>1054</v>
      </c>
      <c r="C10" s="1158" t="s">
        <v>1055</v>
      </c>
      <c r="D10" s="944">
        <v>2635023</v>
      </c>
      <c r="E10" s="943">
        <f>SUM('5.a melléklet'!I8)</f>
        <v>401313</v>
      </c>
      <c r="F10" s="943">
        <f>SUM('5.a melléklet'!L8)</f>
        <v>440629</v>
      </c>
      <c r="G10" s="943">
        <f>SUM('5.a melléklet'!O8)</f>
        <v>431023</v>
      </c>
      <c r="H10" s="943">
        <f>SUM('5.a melléklet'!R8,'5.a melléklet'!U8,'5.a melléklet'!X8,'5.a melléklet'!AA8,'5.a melléklet'!AD8,'5.a melléklet'!AG8,'5.a melléklet'!AJ8,'5.a melléklet'!AM8,'5.a melléklet'!AP8,'5.a melléklet'!AS8,'5.a melléklet'!AV8,'5.a melléklet'!AY8)</f>
        <v>3206912</v>
      </c>
      <c r="I10" s="961">
        <f>SUM(D10:H10)</f>
        <v>7114900</v>
      </c>
      <c r="J10" s="945">
        <f t="shared" si="0"/>
        <v>4479877</v>
      </c>
    </row>
    <row r="11" spans="1:10" ht="31.5" customHeight="1">
      <c r="A11" s="343" t="s">
        <v>257</v>
      </c>
      <c r="B11" s="964" t="s">
        <v>1197</v>
      </c>
      <c r="C11" s="1159" t="s">
        <v>1434</v>
      </c>
      <c r="D11" s="946">
        <v>72496</v>
      </c>
      <c r="E11" s="946">
        <f>SUM('5.a melléklet'!I23)</f>
        <v>301009.20300000004</v>
      </c>
      <c r="F11" s="946">
        <f>SUM('5.a melléklet'!L23)</f>
        <v>301009.20300000004</v>
      </c>
      <c r="G11" s="946">
        <f>SUM('5.a melléklet'!O23)</f>
        <v>301009.20300000004</v>
      </c>
      <c r="H11" s="946">
        <f>SUM('5.a melléklet'!R23,'5.a melléklet'!U23,'5.a melléklet'!X23,'5.a melléklet'!AA23,'5.a melléklet'!AD23,'5.a melléklet'!AG23,'5.a melléklet'!AJ23,'5.a melléklet'!AM23,'5.a melléklet'!AP23,'5.a melléklet'!AS23,'5.a melléklet'!AV23,'5.a melléklet'!AY23,'5.a melléklet'!BB23,'5.a melléklet'!BE23,'5.a melléklet'!BH23,'5.a melléklet'!BK23,'5.a melléklet'!BN23,'5.a melléklet'!BQ23,'5.a melléklet'!BT23,'5.a melléklet'!BW23)</f>
        <v>12101923.010767002</v>
      </c>
      <c r="I11" s="962">
        <f>SUM(D11:H11)</f>
        <v>13077446.619767003</v>
      </c>
      <c r="J11" s="947">
        <f t="shared" si="0"/>
        <v>13004950.619767003</v>
      </c>
    </row>
    <row r="12" spans="1:10" ht="26.25" customHeight="1">
      <c r="A12" s="344" t="s">
        <v>1345</v>
      </c>
      <c r="B12" s="338" t="s">
        <v>1056</v>
      </c>
      <c r="C12" s="1158" t="s">
        <v>151</v>
      </c>
      <c r="D12" s="944"/>
      <c r="E12" s="948">
        <f>SUM('5.a melléklet'!I30)</f>
        <v>287783</v>
      </c>
      <c r="F12" s="948">
        <f>SUM('5.a melléklet'!L30)</f>
        <v>274487</v>
      </c>
      <c r="G12" s="948">
        <f>SUM('5.a melléklet'!O30)</f>
        <v>178892</v>
      </c>
      <c r="H12" s="948">
        <f>SUM('5.a melléklet'!AP32,'5.a melléklet'!AM32,'5.a melléklet'!AJ32,'5.a melléklet'!AG32,'5.a melléklet'!AD32,'5.a melléklet'!AA32,'5.a melléklet'!X32,'5.a melléklet'!U32,'5.a melléklet'!R32)</f>
        <v>1077195</v>
      </c>
      <c r="I12" s="961">
        <f>SUM(D12:H12)</f>
        <v>1818357</v>
      </c>
      <c r="J12" s="945">
        <f t="shared" si="0"/>
        <v>1818357</v>
      </c>
    </row>
    <row r="13" spans="1:10" s="31" customFormat="1" ht="31.5" customHeight="1">
      <c r="A13" s="345" t="s">
        <v>293</v>
      </c>
      <c r="B13" s="339" t="s">
        <v>772</v>
      </c>
      <c r="C13" s="949"/>
      <c r="D13" s="950">
        <f>SUM(D7,D8,D11,D12)</f>
        <v>11365933</v>
      </c>
      <c r="E13" s="950">
        <f aca="true" t="shared" si="2" ref="E13:J13">SUM(E7,E8,E11,E12)</f>
        <v>1125327.203</v>
      </c>
      <c r="F13" s="950">
        <f t="shared" si="2"/>
        <v>1028416.203</v>
      </c>
      <c r="G13" s="950">
        <f t="shared" si="2"/>
        <v>910924.203</v>
      </c>
      <c r="H13" s="950">
        <f t="shared" si="2"/>
        <v>16386030.010767002</v>
      </c>
      <c r="I13" s="950">
        <f t="shared" si="2"/>
        <v>30816630.619767003</v>
      </c>
      <c r="J13" s="951">
        <f t="shared" si="2"/>
        <v>19450697.619767003</v>
      </c>
    </row>
    <row r="14" spans="1:10" ht="31.5" customHeight="1">
      <c r="A14" s="344" t="s">
        <v>1058</v>
      </c>
      <c r="B14" s="337" t="s">
        <v>1057</v>
      </c>
      <c r="C14" s="959"/>
      <c r="D14" s="30">
        <f>SUM('5 b beruházás'!D34)</f>
        <v>5585475</v>
      </c>
      <c r="E14" s="944">
        <f>SUM('1. sz. melléklet'!D49)</f>
        <v>2000762</v>
      </c>
      <c r="F14" s="944">
        <f>SUM('5 b beruházás'!F34)</f>
        <v>215738</v>
      </c>
      <c r="G14" s="944">
        <f>SUM('5 b beruházás'!G34)</f>
        <v>219410</v>
      </c>
      <c r="H14" s="944">
        <f>SUM('5 b beruházás'!H34)</f>
        <v>82545</v>
      </c>
      <c r="I14" s="963">
        <f>SUM(D14:H14)</f>
        <v>8103930</v>
      </c>
      <c r="J14" s="947">
        <f>SUM(E14:H14)</f>
        <v>2518455</v>
      </c>
    </row>
    <row r="15" spans="1:10" ht="31.5" customHeight="1">
      <c r="A15" s="344" t="s">
        <v>1060</v>
      </c>
      <c r="B15" s="337" t="s">
        <v>1059</v>
      </c>
      <c r="C15" s="32"/>
      <c r="D15" s="944">
        <f>SUM('5 c felújítás'!D22)</f>
        <v>118978</v>
      </c>
      <c r="E15" s="944">
        <f>SUM('1. sz. melléklet'!D51)</f>
        <v>542006</v>
      </c>
      <c r="F15" s="944">
        <f>SUM('5 c felújítás'!F22)</f>
        <v>90000</v>
      </c>
      <c r="G15" s="944">
        <f>SUM('5 c felújítás'!G22)</f>
        <v>90000</v>
      </c>
      <c r="H15" s="944"/>
      <c r="I15" s="963">
        <f>SUM(D15:H15)</f>
        <v>840984</v>
      </c>
      <c r="J15" s="947">
        <f>SUM(E15:H15)</f>
        <v>722006</v>
      </c>
    </row>
    <row r="16" spans="1:10" ht="31.5" customHeight="1">
      <c r="A16" s="346" t="s">
        <v>295</v>
      </c>
      <c r="B16" s="340" t="s">
        <v>25</v>
      </c>
      <c r="C16" s="243"/>
      <c r="D16" s="952"/>
      <c r="E16" s="952">
        <f>SUM('1. sz. melléklet'!D50)</f>
        <v>315725</v>
      </c>
      <c r="F16" s="952">
        <f>SUM('5 d átadott pe'!E12)</f>
        <v>0</v>
      </c>
      <c r="G16" s="952">
        <f>SUM('5 d átadott pe'!F12)</f>
        <v>0</v>
      </c>
      <c r="H16" s="952"/>
      <c r="I16" s="965">
        <f>SUM(D16:H16)</f>
        <v>315725</v>
      </c>
      <c r="J16" s="966">
        <f>SUM(E16:H16)</f>
        <v>315725</v>
      </c>
    </row>
    <row r="17" spans="1:10" s="31" customFormat="1" ht="31.5" customHeight="1">
      <c r="A17" s="347" t="s">
        <v>297</v>
      </c>
      <c r="B17" s="341" t="s">
        <v>1426</v>
      </c>
      <c r="C17" s="953"/>
      <c r="D17" s="953">
        <f aca="true" t="shared" si="3" ref="D17:J17">SUM(D13:D16)</f>
        <v>17070386</v>
      </c>
      <c r="E17" s="954">
        <f t="shared" si="3"/>
        <v>3983820.2029999997</v>
      </c>
      <c r="F17" s="954">
        <f t="shared" si="3"/>
        <v>1334154.203</v>
      </c>
      <c r="G17" s="954">
        <f t="shared" si="3"/>
        <v>1220334.203</v>
      </c>
      <c r="H17" s="954">
        <f t="shared" si="3"/>
        <v>16468575.010767002</v>
      </c>
      <c r="I17" s="967">
        <f t="shared" si="3"/>
        <v>40077269.619767</v>
      </c>
      <c r="J17" s="968">
        <f t="shared" si="3"/>
        <v>23006883.619767003</v>
      </c>
    </row>
    <row r="18" ht="15">
      <c r="C18" s="26"/>
    </row>
    <row r="19" ht="15">
      <c r="C19" s="26"/>
    </row>
    <row r="20" ht="15">
      <c r="C20" s="26"/>
    </row>
    <row r="21" ht="15">
      <c r="C21" s="26"/>
    </row>
    <row r="22" ht="15">
      <c r="C22" s="26"/>
    </row>
  </sheetData>
  <mergeCells count="10">
    <mergeCell ref="J5:J6"/>
    <mergeCell ref="A5:A6"/>
    <mergeCell ref="B5:B6"/>
    <mergeCell ref="C5:C6"/>
    <mergeCell ref="I5:I6"/>
    <mergeCell ref="D5:H5"/>
    <mergeCell ref="H1:J1"/>
    <mergeCell ref="A2:J2"/>
    <mergeCell ref="A3:J3"/>
    <mergeCell ref="I4:J4"/>
  </mergeCells>
  <printOptions horizontalCentered="1"/>
  <pageMargins left="0.1968503937007874" right="0.1968503937007874" top="0.69" bottom="0.5905511811023623" header="0.5118110236220472" footer="0.5118110236220472"/>
  <pageSetup horizontalDpi="600" verticalDpi="600" orientation="landscape" paperSize="9" scale="93" r:id="rId1"/>
</worksheet>
</file>

<file path=xl/worksheets/sheet19.xml><?xml version="1.0" encoding="utf-8"?>
<worksheet xmlns="http://schemas.openxmlformats.org/spreadsheetml/2006/main" xmlns:r="http://schemas.openxmlformats.org/officeDocument/2006/relationships">
  <sheetPr>
    <tabColor indexed="41"/>
  </sheetPr>
  <dimension ref="A1:CC48"/>
  <sheetViews>
    <sheetView zoomScale="90" zoomScaleNormal="90" workbookViewId="0" topLeftCell="A3">
      <selection activeCell="G15" sqref="G15"/>
    </sheetView>
  </sheetViews>
  <sheetFormatPr defaultColWidth="9.140625" defaultRowHeight="12.75"/>
  <cols>
    <col min="1" max="1" width="4.140625" style="754" customWidth="1"/>
    <col min="2" max="2" width="32.00390625" style="754" customWidth="1"/>
    <col min="3" max="3" width="8.140625" style="754" customWidth="1"/>
    <col min="4" max="4" width="13.421875" style="754" customWidth="1"/>
    <col min="5" max="5" width="11.7109375" style="754" customWidth="1"/>
    <col min="6" max="6" width="13.421875" style="754" customWidth="1"/>
    <col min="7" max="7" width="10.7109375" style="754" customWidth="1"/>
    <col min="8" max="8" width="9.7109375" style="754" customWidth="1"/>
    <col min="9" max="9" width="11.7109375" style="754" customWidth="1"/>
    <col min="10" max="10" width="10.7109375" style="754" customWidth="1"/>
    <col min="11" max="11" width="9.7109375" style="754" customWidth="1"/>
    <col min="12" max="13" width="10.7109375" style="754" customWidth="1"/>
    <col min="14" max="14" width="9.7109375" style="754" customWidth="1"/>
    <col min="15" max="75" width="10.7109375" style="754" customWidth="1"/>
    <col min="76" max="76" width="12.28125" style="754" customWidth="1"/>
    <col min="77" max="16384" width="9.140625" style="754" customWidth="1"/>
  </cols>
  <sheetData>
    <row r="1" spans="12:80" ht="15" customHeight="1">
      <c r="L1" s="755"/>
      <c r="M1" s="755"/>
      <c r="N1" s="755"/>
      <c r="O1" s="755"/>
      <c r="P1" s="755"/>
      <c r="Q1" s="755"/>
      <c r="R1" s="755"/>
      <c r="S1" s="1884" t="s">
        <v>356</v>
      </c>
      <c r="T1" s="1884"/>
      <c r="U1" s="1884"/>
      <c r="AK1" s="1884"/>
      <c r="AL1" s="1884"/>
      <c r="AM1" s="1884"/>
      <c r="AN1" s="755"/>
      <c r="AO1" s="755"/>
      <c r="AP1" s="755"/>
      <c r="AQ1" s="755"/>
      <c r="AR1" s="755"/>
      <c r="AS1" s="755"/>
      <c r="AT1" s="755"/>
      <c r="AU1" s="755"/>
      <c r="AV1" s="755"/>
      <c r="AW1" s="755"/>
      <c r="AX1" s="755"/>
      <c r="AY1" s="755"/>
      <c r="AZ1" s="755"/>
      <c r="BA1" s="755"/>
      <c r="BB1" s="755"/>
      <c r="BC1" s="755"/>
      <c r="BD1" s="755"/>
      <c r="BE1" s="755"/>
      <c r="BF1" s="755"/>
      <c r="BG1" s="755"/>
      <c r="BH1" s="755"/>
      <c r="BI1" s="755"/>
      <c r="BJ1" s="755"/>
      <c r="BK1" s="755"/>
      <c r="BL1" s="755"/>
      <c r="BM1" s="755"/>
      <c r="BN1" s="755"/>
      <c r="BO1" s="755"/>
      <c r="BP1" s="755"/>
      <c r="BQ1" s="755"/>
      <c r="BR1" s="755"/>
      <c r="BS1" s="755"/>
      <c r="BT1" s="755"/>
      <c r="BU1" s="755"/>
      <c r="BV1" s="755"/>
      <c r="BW1" s="755"/>
      <c r="BX1" s="755"/>
      <c r="BY1" s="755"/>
      <c r="BZ1" s="755"/>
      <c r="CA1" s="755"/>
      <c r="CB1" s="755"/>
    </row>
    <row r="2" spans="1:81" ht="21.75" customHeight="1">
      <c r="A2" s="1898" t="s">
        <v>273</v>
      </c>
      <c r="B2" s="1898"/>
      <c r="C2" s="1898"/>
      <c r="D2" s="1898"/>
      <c r="E2" s="1898"/>
      <c r="F2" s="1898"/>
      <c r="G2" s="1898"/>
      <c r="H2" s="1898"/>
      <c r="I2" s="1898"/>
      <c r="J2" s="1898"/>
      <c r="K2" s="1898"/>
      <c r="L2" s="1898"/>
      <c r="M2" s="1898"/>
      <c r="N2" s="1898"/>
      <c r="O2" s="1898"/>
      <c r="P2" s="1898"/>
      <c r="Q2" s="1898"/>
      <c r="R2" s="1898"/>
      <c r="S2" s="1898"/>
      <c r="T2" s="1898"/>
      <c r="U2" s="1898"/>
      <c r="V2" s="1898"/>
      <c r="W2" s="1898"/>
      <c r="X2" s="1898"/>
      <c r="Y2" s="1898"/>
      <c r="Z2" s="1898"/>
      <c r="AA2" s="1898"/>
      <c r="AB2" s="1898"/>
      <c r="AC2" s="1898"/>
      <c r="AD2" s="1898"/>
      <c r="AE2" s="1898"/>
      <c r="AF2" s="1898"/>
      <c r="AG2" s="1898"/>
      <c r="AH2" s="1898"/>
      <c r="AI2" s="1898"/>
      <c r="AJ2" s="1898"/>
      <c r="AK2" s="1898"/>
      <c r="AL2" s="1898"/>
      <c r="AM2" s="1898"/>
      <c r="AN2" s="1898"/>
      <c r="AO2" s="1898"/>
      <c r="AP2" s="1898"/>
      <c r="AQ2" s="1898"/>
      <c r="AR2" s="1898"/>
      <c r="AS2" s="1898"/>
      <c r="AT2" s="1898"/>
      <c r="AU2" s="1898"/>
      <c r="AV2" s="1898"/>
      <c r="AW2" s="1898"/>
      <c r="AX2" s="1898"/>
      <c r="AY2" s="1898"/>
      <c r="AZ2" s="1898"/>
      <c r="BA2" s="1898"/>
      <c r="BB2" s="1898"/>
      <c r="BC2" s="1898"/>
      <c r="BD2" s="1898"/>
      <c r="BE2" s="1898"/>
      <c r="BF2" s="1898"/>
      <c r="BG2" s="1898"/>
      <c r="BH2" s="1898"/>
      <c r="BI2" s="1898"/>
      <c r="BJ2" s="1898"/>
      <c r="BK2" s="1898"/>
      <c r="BL2" s="1898"/>
      <c r="BM2" s="1898"/>
      <c r="BN2" s="1898"/>
      <c r="BO2" s="1898"/>
      <c r="BP2" s="1898"/>
      <c r="BQ2" s="1898"/>
      <c r="BR2" s="1898"/>
      <c r="BS2" s="1898"/>
      <c r="BT2" s="1898"/>
      <c r="BU2" s="1898"/>
      <c r="BV2" s="1898"/>
      <c r="BW2" s="1898"/>
      <c r="BX2" s="756"/>
      <c r="BY2" s="756"/>
      <c r="BZ2" s="756"/>
      <c r="CA2" s="756"/>
      <c r="CB2" s="756"/>
      <c r="CC2" s="756"/>
    </row>
    <row r="3" spans="1:81" ht="24" customHeight="1">
      <c r="A3" s="1898" t="s">
        <v>711</v>
      </c>
      <c r="B3" s="1898"/>
      <c r="C3" s="1898"/>
      <c r="D3" s="1898"/>
      <c r="E3" s="1898"/>
      <c r="F3" s="1898"/>
      <c r="G3" s="1898"/>
      <c r="H3" s="1898"/>
      <c r="I3" s="1898"/>
      <c r="J3" s="1898"/>
      <c r="K3" s="1898"/>
      <c r="L3" s="1898"/>
      <c r="M3" s="1898"/>
      <c r="N3" s="1898"/>
      <c r="O3" s="1898"/>
      <c r="P3" s="1898"/>
      <c r="Q3" s="1898"/>
      <c r="R3" s="1898"/>
      <c r="S3" s="1898"/>
      <c r="T3" s="1898"/>
      <c r="U3" s="1898"/>
      <c r="V3" s="1898"/>
      <c r="W3" s="1898"/>
      <c r="X3" s="1898"/>
      <c r="Y3" s="1898"/>
      <c r="Z3" s="1898"/>
      <c r="AA3" s="1898"/>
      <c r="AB3" s="1898"/>
      <c r="AC3" s="1898"/>
      <c r="AD3" s="1898"/>
      <c r="AE3" s="1898"/>
      <c r="AF3" s="1898"/>
      <c r="AG3" s="1898"/>
      <c r="AH3" s="1898"/>
      <c r="AI3" s="1898"/>
      <c r="AJ3" s="1898"/>
      <c r="AK3" s="1898"/>
      <c r="AL3" s="1898"/>
      <c r="AM3" s="1898"/>
      <c r="AN3" s="1898"/>
      <c r="AO3" s="1898"/>
      <c r="AP3" s="1898"/>
      <c r="AQ3" s="1898"/>
      <c r="AR3" s="1898"/>
      <c r="AS3" s="1898"/>
      <c r="AT3" s="1898"/>
      <c r="AU3" s="1898"/>
      <c r="AV3" s="1898"/>
      <c r="AW3" s="1898"/>
      <c r="AX3" s="1898"/>
      <c r="AY3" s="1898"/>
      <c r="AZ3" s="1898"/>
      <c r="BA3" s="1898"/>
      <c r="BB3" s="1898"/>
      <c r="BC3" s="1898"/>
      <c r="BD3" s="1898"/>
      <c r="BE3" s="1898"/>
      <c r="BF3" s="1898"/>
      <c r="BG3" s="1898"/>
      <c r="BH3" s="1898"/>
      <c r="BI3" s="1898"/>
      <c r="BJ3" s="1898"/>
      <c r="BK3" s="1898"/>
      <c r="BL3" s="1898"/>
      <c r="BM3" s="1898"/>
      <c r="BN3" s="1898"/>
      <c r="BO3" s="1898"/>
      <c r="BP3" s="1898"/>
      <c r="BQ3" s="1898"/>
      <c r="BR3" s="1898"/>
      <c r="BS3" s="1898"/>
      <c r="BT3" s="1898"/>
      <c r="BU3" s="1898"/>
      <c r="BV3" s="1898"/>
      <c r="BW3" s="1898"/>
      <c r="BX3" s="756"/>
      <c r="BY3" s="756"/>
      <c r="BZ3" s="756"/>
      <c r="CA3" s="756"/>
      <c r="CB3" s="756"/>
      <c r="CC3" s="756"/>
    </row>
    <row r="4" spans="1:81" ht="12.75" customHeight="1">
      <c r="A4" s="756"/>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6"/>
      <c r="AX4" s="756"/>
      <c r="AY4" s="756"/>
      <c r="AZ4" s="756"/>
      <c r="BA4" s="756"/>
      <c r="BB4" s="756"/>
      <c r="BC4" s="756"/>
      <c r="BD4" s="756"/>
      <c r="BE4" s="756"/>
      <c r="BF4" s="756"/>
      <c r="BG4" s="756"/>
      <c r="BH4" s="756"/>
      <c r="BI4" s="756"/>
      <c r="BJ4" s="756"/>
      <c r="BK4" s="756"/>
      <c r="BL4" s="756"/>
      <c r="BM4" s="756"/>
      <c r="BN4" s="756"/>
      <c r="BO4" s="756"/>
      <c r="BP4" s="756"/>
      <c r="BQ4" s="756"/>
      <c r="BR4" s="756"/>
      <c r="BS4" s="756"/>
      <c r="BT4" s="756"/>
      <c r="BU4" s="756"/>
      <c r="BV4" s="756"/>
      <c r="BW4" s="756"/>
      <c r="BX4" s="756"/>
      <c r="BY4" s="756"/>
      <c r="BZ4" s="756"/>
      <c r="CA4" s="756"/>
      <c r="CB4" s="756"/>
      <c r="CC4" s="756"/>
    </row>
    <row r="5" spans="1:80" ht="15" customHeight="1">
      <c r="A5" s="757"/>
      <c r="B5" s="757"/>
      <c r="C5" s="757"/>
      <c r="D5" s="757"/>
      <c r="E5" s="757"/>
      <c r="F5" s="757"/>
      <c r="G5" s="757"/>
      <c r="H5" s="757"/>
      <c r="I5" s="757"/>
      <c r="J5" s="757"/>
      <c r="K5" s="757"/>
      <c r="M5" s="758"/>
      <c r="N5" s="758"/>
      <c r="O5" s="758"/>
      <c r="P5" s="758"/>
      <c r="Q5" s="758"/>
      <c r="R5" s="758"/>
      <c r="S5" s="758"/>
      <c r="T5" s="758"/>
      <c r="U5" s="758" t="s">
        <v>384</v>
      </c>
      <c r="V5" s="757"/>
      <c r="W5" s="757"/>
      <c r="X5" s="757"/>
      <c r="Y5" s="757"/>
      <c r="Z5" s="757"/>
      <c r="AA5" s="757"/>
      <c r="AB5" s="757"/>
      <c r="AC5" s="757"/>
      <c r="AD5" s="757"/>
      <c r="AE5" s="757"/>
      <c r="AF5" s="757"/>
      <c r="AG5" s="757"/>
      <c r="AH5" s="757"/>
      <c r="AI5" s="757"/>
      <c r="AJ5" s="757"/>
      <c r="AK5" s="757"/>
      <c r="AL5" s="757"/>
      <c r="AM5" s="758" t="s">
        <v>384</v>
      </c>
      <c r="BE5" s="758" t="s">
        <v>384</v>
      </c>
      <c r="BX5" s="758" t="s">
        <v>384</v>
      </c>
      <c r="BY5" s="758"/>
      <c r="BZ5" s="758"/>
      <c r="CA5" s="758"/>
      <c r="CB5" s="758"/>
    </row>
    <row r="6" spans="1:81" s="760" customFormat="1" ht="24.75" customHeight="1">
      <c r="A6" s="1879" t="s">
        <v>830</v>
      </c>
      <c r="B6" s="1880"/>
      <c r="C6" s="1881"/>
      <c r="D6" s="1882" t="s">
        <v>773</v>
      </c>
      <c r="E6" s="1880"/>
      <c r="F6" s="1883"/>
      <c r="G6" s="1879" t="s">
        <v>894</v>
      </c>
      <c r="H6" s="1880"/>
      <c r="I6" s="1881"/>
      <c r="J6" s="1882" t="s">
        <v>895</v>
      </c>
      <c r="K6" s="1880"/>
      <c r="L6" s="1883"/>
      <c r="M6" s="1879" t="s">
        <v>832</v>
      </c>
      <c r="N6" s="1880"/>
      <c r="O6" s="1881"/>
      <c r="P6" s="1882" t="s">
        <v>833</v>
      </c>
      <c r="Q6" s="1880"/>
      <c r="R6" s="1883"/>
      <c r="S6" s="1879" t="s">
        <v>834</v>
      </c>
      <c r="T6" s="1880"/>
      <c r="U6" s="1881"/>
      <c r="V6" s="1882" t="s">
        <v>835</v>
      </c>
      <c r="W6" s="1880"/>
      <c r="X6" s="1883"/>
      <c r="Y6" s="1879" t="s">
        <v>836</v>
      </c>
      <c r="Z6" s="1880"/>
      <c r="AA6" s="1881"/>
      <c r="AB6" s="1882" t="s">
        <v>837</v>
      </c>
      <c r="AC6" s="1880"/>
      <c r="AD6" s="1883"/>
      <c r="AE6" s="1879" t="s">
        <v>838</v>
      </c>
      <c r="AF6" s="1880"/>
      <c r="AG6" s="1881"/>
      <c r="AH6" s="1882" t="s">
        <v>839</v>
      </c>
      <c r="AI6" s="1880"/>
      <c r="AJ6" s="1883"/>
      <c r="AK6" s="1879" t="s">
        <v>840</v>
      </c>
      <c r="AL6" s="1880"/>
      <c r="AM6" s="1881"/>
      <c r="AN6" s="1882" t="s">
        <v>1182</v>
      </c>
      <c r="AO6" s="1880"/>
      <c r="AP6" s="1883"/>
      <c r="AQ6" s="1879" t="s">
        <v>1183</v>
      </c>
      <c r="AR6" s="1880"/>
      <c r="AS6" s="1881"/>
      <c r="AT6" s="1882" t="s">
        <v>1184</v>
      </c>
      <c r="AU6" s="1880"/>
      <c r="AV6" s="1883"/>
      <c r="AW6" s="1879" t="s">
        <v>1185</v>
      </c>
      <c r="AX6" s="1880"/>
      <c r="AY6" s="1881"/>
      <c r="AZ6" s="1882" t="s">
        <v>1186</v>
      </c>
      <c r="BA6" s="1880"/>
      <c r="BB6" s="1883"/>
      <c r="BC6" s="1879" t="s">
        <v>1187</v>
      </c>
      <c r="BD6" s="1880"/>
      <c r="BE6" s="1881"/>
      <c r="BF6" s="1882" t="s">
        <v>1188</v>
      </c>
      <c r="BG6" s="1880"/>
      <c r="BH6" s="1883"/>
      <c r="BI6" s="1879" t="s">
        <v>1189</v>
      </c>
      <c r="BJ6" s="1880"/>
      <c r="BK6" s="1881"/>
      <c r="BL6" s="1882" t="s">
        <v>1190</v>
      </c>
      <c r="BM6" s="1880"/>
      <c r="BN6" s="1883"/>
      <c r="BO6" s="1879" t="s">
        <v>1191</v>
      </c>
      <c r="BP6" s="1880"/>
      <c r="BQ6" s="1881"/>
      <c r="BR6" s="1882" t="s">
        <v>1192</v>
      </c>
      <c r="BS6" s="1880"/>
      <c r="BT6" s="1883"/>
      <c r="BU6" s="1879" t="s">
        <v>1193</v>
      </c>
      <c r="BV6" s="1880"/>
      <c r="BW6" s="1881"/>
      <c r="BX6" s="1887" t="s">
        <v>841</v>
      </c>
      <c r="BY6" s="759"/>
      <c r="BZ6" s="759"/>
      <c r="CA6" s="759"/>
      <c r="CB6" s="759"/>
      <c r="CC6" s="759"/>
    </row>
    <row r="7" spans="1:76" s="760" customFormat="1" ht="27.75" customHeight="1">
      <c r="A7" s="1889" t="s">
        <v>1194</v>
      </c>
      <c r="B7" s="1890"/>
      <c r="C7" s="763" t="s">
        <v>842</v>
      </c>
      <c r="D7" s="764" t="s">
        <v>843</v>
      </c>
      <c r="E7" s="762" t="s">
        <v>844</v>
      </c>
      <c r="F7" s="765" t="s">
        <v>170</v>
      </c>
      <c r="G7" s="761" t="s">
        <v>843</v>
      </c>
      <c r="H7" s="762" t="s">
        <v>844</v>
      </c>
      <c r="I7" s="766" t="s">
        <v>170</v>
      </c>
      <c r="J7" s="764" t="s">
        <v>843</v>
      </c>
      <c r="K7" s="762" t="s">
        <v>844</v>
      </c>
      <c r="L7" s="765" t="s">
        <v>170</v>
      </c>
      <c r="M7" s="761" t="s">
        <v>843</v>
      </c>
      <c r="N7" s="762" t="s">
        <v>844</v>
      </c>
      <c r="O7" s="766" t="s">
        <v>170</v>
      </c>
      <c r="P7" s="764" t="s">
        <v>843</v>
      </c>
      <c r="Q7" s="762" t="s">
        <v>844</v>
      </c>
      <c r="R7" s="765" t="s">
        <v>170</v>
      </c>
      <c r="S7" s="761" t="s">
        <v>843</v>
      </c>
      <c r="T7" s="762" t="s">
        <v>844</v>
      </c>
      <c r="U7" s="766" t="s">
        <v>170</v>
      </c>
      <c r="V7" s="764" t="s">
        <v>843</v>
      </c>
      <c r="W7" s="762" t="s">
        <v>844</v>
      </c>
      <c r="X7" s="765" t="s">
        <v>170</v>
      </c>
      <c r="Y7" s="761" t="s">
        <v>843</v>
      </c>
      <c r="Z7" s="762" t="s">
        <v>844</v>
      </c>
      <c r="AA7" s="766" t="s">
        <v>170</v>
      </c>
      <c r="AB7" s="764" t="s">
        <v>843</v>
      </c>
      <c r="AC7" s="762" t="s">
        <v>844</v>
      </c>
      <c r="AD7" s="765" t="s">
        <v>170</v>
      </c>
      <c r="AE7" s="761" t="s">
        <v>843</v>
      </c>
      <c r="AF7" s="762" t="s">
        <v>844</v>
      </c>
      <c r="AG7" s="766" t="s">
        <v>170</v>
      </c>
      <c r="AH7" s="764" t="s">
        <v>843</v>
      </c>
      <c r="AI7" s="762" t="s">
        <v>844</v>
      </c>
      <c r="AJ7" s="765" t="s">
        <v>170</v>
      </c>
      <c r="AK7" s="761" t="s">
        <v>843</v>
      </c>
      <c r="AL7" s="762" t="s">
        <v>844</v>
      </c>
      <c r="AM7" s="766" t="s">
        <v>170</v>
      </c>
      <c r="AN7" s="764" t="s">
        <v>843</v>
      </c>
      <c r="AO7" s="762" t="s">
        <v>844</v>
      </c>
      <c r="AP7" s="765" t="s">
        <v>170</v>
      </c>
      <c r="AQ7" s="761" t="s">
        <v>843</v>
      </c>
      <c r="AR7" s="762" t="s">
        <v>844</v>
      </c>
      <c r="AS7" s="766" t="s">
        <v>170</v>
      </c>
      <c r="AT7" s="764" t="s">
        <v>843</v>
      </c>
      <c r="AU7" s="762" t="s">
        <v>844</v>
      </c>
      <c r="AV7" s="765" t="s">
        <v>170</v>
      </c>
      <c r="AW7" s="761" t="s">
        <v>843</v>
      </c>
      <c r="AX7" s="762" t="s">
        <v>844</v>
      </c>
      <c r="AY7" s="766" t="s">
        <v>170</v>
      </c>
      <c r="AZ7" s="764" t="s">
        <v>843</v>
      </c>
      <c r="BA7" s="762" t="s">
        <v>844</v>
      </c>
      <c r="BB7" s="765" t="s">
        <v>170</v>
      </c>
      <c r="BC7" s="761" t="s">
        <v>843</v>
      </c>
      <c r="BD7" s="762" t="s">
        <v>844</v>
      </c>
      <c r="BE7" s="766" t="s">
        <v>170</v>
      </c>
      <c r="BF7" s="764" t="s">
        <v>843</v>
      </c>
      <c r="BG7" s="762" t="s">
        <v>844</v>
      </c>
      <c r="BH7" s="765" t="s">
        <v>170</v>
      </c>
      <c r="BI7" s="761" t="s">
        <v>843</v>
      </c>
      <c r="BJ7" s="762" t="s">
        <v>844</v>
      </c>
      <c r="BK7" s="766" t="s">
        <v>170</v>
      </c>
      <c r="BL7" s="764" t="s">
        <v>843</v>
      </c>
      <c r="BM7" s="762" t="s">
        <v>844</v>
      </c>
      <c r="BN7" s="765" t="s">
        <v>170</v>
      </c>
      <c r="BO7" s="761" t="s">
        <v>843</v>
      </c>
      <c r="BP7" s="762" t="s">
        <v>844</v>
      </c>
      <c r="BQ7" s="766" t="s">
        <v>170</v>
      </c>
      <c r="BR7" s="764" t="s">
        <v>843</v>
      </c>
      <c r="BS7" s="762" t="s">
        <v>844</v>
      </c>
      <c r="BT7" s="765" t="s">
        <v>170</v>
      </c>
      <c r="BU7" s="761" t="s">
        <v>843</v>
      </c>
      <c r="BV7" s="762" t="s">
        <v>844</v>
      </c>
      <c r="BW7" s="766" t="s">
        <v>170</v>
      </c>
      <c r="BX7" s="1888"/>
    </row>
    <row r="8" spans="1:76" s="760" customFormat="1" ht="30" customHeight="1">
      <c r="A8" s="767" t="s">
        <v>950</v>
      </c>
      <c r="B8" s="1891" t="s">
        <v>152</v>
      </c>
      <c r="C8" s="1892"/>
      <c r="D8" s="769">
        <f>SUM(D9:D22)</f>
        <v>3591831</v>
      </c>
      <c r="E8" s="770">
        <f>SUM(E9:E22)</f>
        <v>888046</v>
      </c>
      <c r="F8" s="771">
        <f aca="true" t="shared" si="0" ref="F8:F28">SUM(D8:E8)</f>
        <v>4479877</v>
      </c>
      <c r="G8" s="767">
        <f>SUM(G9:G22)</f>
        <v>267596</v>
      </c>
      <c r="H8" s="770">
        <f>SUM(H9:H22)</f>
        <v>133717</v>
      </c>
      <c r="I8" s="772">
        <f aca="true" t="shared" si="1" ref="I8:I23">SUM(G8:H8)</f>
        <v>401313</v>
      </c>
      <c r="J8" s="769">
        <f>SUM(J9:J22)</f>
        <v>320385</v>
      </c>
      <c r="K8" s="770">
        <f>SUM(K9:K22)</f>
        <v>120244</v>
      </c>
      <c r="L8" s="771">
        <f aca="true" t="shared" si="2" ref="L8:L23">SUM(J8:K8)</f>
        <v>440629</v>
      </c>
      <c r="M8" s="767">
        <f>SUM(M9:M22)</f>
        <v>322960</v>
      </c>
      <c r="N8" s="770">
        <f>SUM(N9:N22)</f>
        <v>108063</v>
      </c>
      <c r="O8" s="772">
        <f aca="true" t="shared" si="3" ref="O8:O23">SUM(M8:N8)</f>
        <v>431023</v>
      </c>
      <c r="P8" s="769">
        <f>SUM(P9:P22)</f>
        <v>330044</v>
      </c>
      <c r="Q8" s="770">
        <f>SUM(Q9:Q22)</f>
        <v>96307</v>
      </c>
      <c r="R8" s="771">
        <f aca="true" t="shared" si="4" ref="R8:R23">SUM(P8:Q8)</f>
        <v>426351</v>
      </c>
      <c r="S8" s="767">
        <f>SUM(S9:S22)</f>
        <v>285374</v>
      </c>
      <c r="T8" s="770">
        <f>SUM(T9:T22)</f>
        <v>84637</v>
      </c>
      <c r="U8" s="772">
        <f aca="true" t="shared" si="5" ref="U8:U23">SUM(S8:T8)</f>
        <v>370011</v>
      </c>
      <c r="V8" s="769">
        <f>SUM(V9:V22)</f>
        <v>261174</v>
      </c>
      <c r="W8" s="770">
        <f>SUM(W9:W22)</f>
        <v>74169</v>
      </c>
      <c r="X8" s="771">
        <f aca="true" t="shared" si="6" ref="X8:X23">SUM(V8:W8)</f>
        <v>335343</v>
      </c>
      <c r="Y8" s="767">
        <f>SUM(Y9:Y22)</f>
        <v>297326</v>
      </c>
      <c r="Z8" s="770">
        <f>SUM(Z9:Z22)</f>
        <v>64414</v>
      </c>
      <c r="AA8" s="772">
        <f aca="true" t="shared" si="7" ref="AA8:AA23">SUM(Y8:Z8)</f>
        <v>361740</v>
      </c>
      <c r="AB8" s="769">
        <f>SUM(AB9:AB22)</f>
        <v>241750</v>
      </c>
      <c r="AC8" s="770">
        <f>SUM(AC9:AC22)</f>
        <v>53806</v>
      </c>
      <c r="AD8" s="771">
        <f aca="true" t="shared" si="8" ref="AD8:AD23">SUM(AB8:AC8)</f>
        <v>295556</v>
      </c>
      <c r="AE8" s="767">
        <f>SUM(AE9:AE22)</f>
        <v>250727</v>
      </c>
      <c r="AF8" s="770">
        <f>SUM(AF9:AF22)</f>
        <v>45074</v>
      </c>
      <c r="AG8" s="772">
        <f aca="true" t="shared" si="9" ref="AG8:AG23">SUM(AE8:AF8)</f>
        <v>295801</v>
      </c>
      <c r="AH8" s="769">
        <f>SUM(AH9:AH22)</f>
        <v>201887</v>
      </c>
      <c r="AI8" s="770">
        <f>SUM(AI9:AI22)</f>
        <v>36260</v>
      </c>
      <c r="AJ8" s="771">
        <f aca="true" t="shared" si="10" ref="AJ8:AJ23">SUM(AH8:AI8)</f>
        <v>238147</v>
      </c>
      <c r="AK8" s="767">
        <f>SUM(AK9:AK22)</f>
        <v>211887</v>
      </c>
      <c r="AL8" s="770">
        <f>SUM(AL9:AL22)</f>
        <v>29084</v>
      </c>
      <c r="AM8" s="772">
        <f aca="true" t="shared" si="11" ref="AM8:AM23">SUM(AK8:AL8)</f>
        <v>240971</v>
      </c>
      <c r="AN8" s="769">
        <f>SUM(AN9:AN22)</f>
        <v>242540</v>
      </c>
      <c r="AO8" s="770">
        <f>SUM(AO9:AO22)</f>
        <v>21496</v>
      </c>
      <c r="AP8" s="771">
        <f aca="true" t="shared" si="12" ref="AP8:AP23">SUM(AN8:AO8)</f>
        <v>264036</v>
      </c>
      <c r="AQ8" s="767">
        <f>SUM(AQ9:AQ22)</f>
        <v>165579</v>
      </c>
      <c r="AR8" s="770">
        <f>SUM(AR9:AR22)</f>
        <v>13165</v>
      </c>
      <c r="AS8" s="772">
        <f aca="true" t="shared" si="13" ref="AS8:AS23">SUM(AQ8:AR8)</f>
        <v>178744</v>
      </c>
      <c r="AT8" s="769">
        <f>SUM(AT9:AT22)</f>
        <v>165918</v>
      </c>
      <c r="AU8" s="770">
        <f>SUM(AU9:AU22)</f>
        <v>6882</v>
      </c>
      <c r="AV8" s="771">
        <f aca="true" t="shared" si="14" ref="AV8:AV23">SUM(AT8:AU8)</f>
        <v>172800</v>
      </c>
      <c r="AW8" s="767">
        <f>SUM(AW9:AW22)</f>
        <v>26684</v>
      </c>
      <c r="AX8" s="770">
        <f>SUM(AX9:AX22)</f>
        <v>728</v>
      </c>
      <c r="AY8" s="772">
        <f aca="true" t="shared" si="15" ref="AY8:AY23">SUM(AW8:AX8)</f>
        <v>27412</v>
      </c>
      <c r="AZ8" s="769">
        <f>SUM(AZ9:AZ22)</f>
        <v>0</v>
      </c>
      <c r="BA8" s="770">
        <f>SUM(BA9:BA22)</f>
        <v>0</v>
      </c>
      <c r="BB8" s="771">
        <f aca="true" t="shared" si="16" ref="BB8:BB23">SUM(AZ8:BA8)</f>
        <v>0</v>
      </c>
      <c r="BC8" s="767">
        <f>SUM(BC9:BC22)</f>
        <v>0</v>
      </c>
      <c r="BD8" s="770">
        <f>SUM(BD9:BD22)</f>
        <v>0</v>
      </c>
      <c r="BE8" s="772">
        <f aca="true" t="shared" si="17" ref="BE8:BE23">SUM(BC8:BD8)</f>
        <v>0</v>
      </c>
      <c r="BF8" s="769">
        <f>SUM(BF9:BF22)</f>
        <v>0</v>
      </c>
      <c r="BG8" s="770">
        <f>SUM(BG9:BG22)</f>
        <v>0</v>
      </c>
      <c r="BH8" s="771">
        <f aca="true" t="shared" si="18" ref="BH8:BH23">SUM(BF8:BG8)</f>
        <v>0</v>
      </c>
      <c r="BI8" s="767">
        <f>SUM(BI9:BI22)</f>
        <v>0</v>
      </c>
      <c r="BJ8" s="770">
        <f>SUM(BJ9:BJ22)</f>
        <v>0</v>
      </c>
      <c r="BK8" s="772">
        <f aca="true" t="shared" si="19" ref="BK8:BK23">SUM(BI8:BJ8)</f>
        <v>0</v>
      </c>
      <c r="BL8" s="769">
        <f>SUM(BL9:BL22)</f>
        <v>0</v>
      </c>
      <c r="BM8" s="770">
        <f>SUM(BM9:BM22)</f>
        <v>0</v>
      </c>
      <c r="BN8" s="771">
        <f aca="true" t="shared" si="20" ref="BN8:BN23">SUM(BL8:BM8)</f>
        <v>0</v>
      </c>
      <c r="BO8" s="767">
        <f>SUM(BO9:BO22)</f>
        <v>0</v>
      </c>
      <c r="BP8" s="770">
        <f>SUM(BP9:BP22)</f>
        <v>0</v>
      </c>
      <c r="BQ8" s="772">
        <f aca="true" t="shared" si="21" ref="BQ8:BQ23">SUM(BO8:BP8)</f>
        <v>0</v>
      </c>
      <c r="BR8" s="769">
        <f>SUM(BR9:BR22)</f>
        <v>0</v>
      </c>
      <c r="BS8" s="770">
        <f>SUM(BS9:BS22)</f>
        <v>0</v>
      </c>
      <c r="BT8" s="771">
        <f aca="true" t="shared" si="22" ref="BT8:BT23">SUM(BR8:BS8)</f>
        <v>0</v>
      </c>
      <c r="BU8" s="767">
        <f>SUM(BU9:BU22)</f>
        <v>0</v>
      </c>
      <c r="BV8" s="770">
        <f>SUM(BV9:BV22)</f>
        <v>0</v>
      </c>
      <c r="BW8" s="772">
        <f aca="true" t="shared" si="23" ref="BW8:BW23">SUM(BU8:BV8)</f>
        <v>0</v>
      </c>
      <c r="BX8" s="773" t="s">
        <v>114</v>
      </c>
    </row>
    <row r="9" spans="1:76" ht="24.75" customHeight="1">
      <c r="A9" s="774"/>
      <c r="B9" s="775" t="s">
        <v>846</v>
      </c>
      <c r="C9" s="776" t="s">
        <v>845</v>
      </c>
      <c r="D9" s="777">
        <f aca="true" t="shared" si="24" ref="D9:D23">SUM(G9,J9,M9,P9,S9,V9,Y9,AB9,AE9,AH9,AK9,AN9,AQ9,AT9,AW9,AZ9,BC9,BF9,BI9,BL9,BO9,BR9,BU9)</f>
        <v>8000</v>
      </c>
      <c r="E9" s="778">
        <f aca="true" t="shared" si="25" ref="E9:E23">SUM(H9,K9,N9,Q9,T9,W9,Z9,AC9,AF9,AI9,AL9,AO9,AR9,AU9,AX9,BA9,BD9,BG9,BJ9,BM9,BP9,BS9,BV9)</f>
        <v>793</v>
      </c>
      <c r="F9" s="779">
        <f t="shared" si="0"/>
        <v>8793</v>
      </c>
      <c r="G9" s="774">
        <v>4000</v>
      </c>
      <c r="H9" s="778">
        <v>555</v>
      </c>
      <c r="I9" s="780">
        <f t="shared" si="1"/>
        <v>4555</v>
      </c>
      <c r="J9" s="777">
        <v>4000</v>
      </c>
      <c r="K9" s="778">
        <v>238</v>
      </c>
      <c r="L9" s="781">
        <f t="shared" si="2"/>
        <v>4238</v>
      </c>
      <c r="M9" s="782"/>
      <c r="N9" s="783"/>
      <c r="O9" s="780">
        <f t="shared" si="3"/>
        <v>0</v>
      </c>
      <c r="P9" s="784"/>
      <c r="Q9" s="783"/>
      <c r="R9" s="781">
        <f t="shared" si="4"/>
        <v>0</v>
      </c>
      <c r="S9" s="782"/>
      <c r="T9" s="783"/>
      <c r="U9" s="780">
        <f t="shared" si="5"/>
        <v>0</v>
      </c>
      <c r="V9" s="784"/>
      <c r="W9" s="783"/>
      <c r="X9" s="781">
        <f t="shared" si="6"/>
        <v>0</v>
      </c>
      <c r="Y9" s="782"/>
      <c r="Z9" s="783"/>
      <c r="AA9" s="780">
        <f t="shared" si="7"/>
        <v>0</v>
      </c>
      <c r="AB9" s="784"/>
      <c r="AC9" s="783"/>
      <c r="AD9" s="781">
        <f t="shared" si="8"/>
        <v>0</v>
      </c>
      <c r="AE9" s="782"/>
      <c r="AF9" s="783"/>
      <c r="AG9" s="780">
        <f t="shared" si="9"/>
        <v>0</v>
      </c>
      <c r="AH9" s="784"/>
      <c r="AI9" s="783"/>
      <c r="AJ9" s="781">
        <f t="shared" si="10"/>
        <v>0</v>
      </c>
      <c r="AK9" s="782"/>
      <c r="AL9" s="783"/>
      <c r="AM9" s="780">
        <f t="shared" si="11"/>
        <v>0</v>
      </c>
      <c r="AN9" s="785"/>
      <c r="AO9" s="786"/>
      <c r="AP9" s="781">
        <f t="shared" si="12"/>
        <v>0</v>
      </c>
      <c r="AQ9" s="787"/>
      <c r="AR9" s="786"/>
      <c r="AS9" s="780">
        <f t="shared" si="13"/>
        <v>0</v>
      </c>
      <c r="AT9" s="785"/>
      <c r="AU9" s="786"/>
      <c r="AV9" s="781">
        <f t="shared" si="14"/>
        <v>0</v>
      </c>
      <c r="AW9" s="787"/>
      <c r="AX9" s="786"/>
      <c r="AY9" s="780">
        <f t="shared" si="15"/>
        <v>0</v>
      </c>
      <c r="AZ9" s="785"/>
      <c r="BA9" s="786"/>
      <c r="BB9" s="781">
        <f t="shared" si="16"/>
        <v>0</v>
      </c>
      <c r="BC9" s="787"/>
      <c r="BD9" s="786"/>
      <c r="BE9" s="780">
        <f t="shared" si="17"/>
        <v>0</v>
      </c>
      <c r="BF9" s="785"/>
      <c r="BG9" s="786"/>
      <c r="BH9" s="781">
        <f t="shared" si="18"/>
        <v>0</v>
      </c>
      <c r="BI9" s="787"/>
      <c r="BJ9" s="786"/>
      <c r="BK9" s="780">
        <f t="shared" si="19"/>
        <v>0</v>
      </c>
      <c r="BL9" s="785"/>
      <c r="BM9" s="786"/>
      <c r="BN9" s="781">
        <f t="shared" si="20"/>
        <v>0</v>
      </c>
      <c r="BO9" s="787"/>
      <c r="BP9" s="786"/>
      <c r="BQ9" s="780">
        <f t="shared" si="21"/>
        <v>0</v>
      </c>
      <c r="BR9" s="785"/>
      <c r="BS9" s="786"/>
      <c r="BT9" s="781">
        <f t="shared" si="22"/>
        <v>0</v>
      </c>
      <c r="BU9" s="787"/>
      <c r="BV9" s="786"/>
      <c r="BW9" s="780">
        <f t="shared" si="23"/>
        <v>0</v>
      </c>
      <c r="BX9" s="788">
        <v>40167</v>
      </c>
    </row>
    <row r="10" spans="1:76" ht="24.75" customHeight="1">
      <c r="A10" s="789"/>
      <c r="B10" s="790" t="s">
        <v>847</v>
      </c>
      <c r="C10" s="791" t="s">
        <v>845</v>
      </c>
      <c r="D10" s="792">
        <f t="shared" si="24"/>
        <v>16813</v>
      </c>
      <c r="E10" s="793">
        <f t="shared" si="25"/>
        <v>1667</v>
      </c>
      <c r="F10" s="794">
        <f t="shared" si="0"/>
        <v>18480</v>
      </c>
      <c r="G10" s="789">
        <v>8407</v>
      </c>
      <c r="H10" s="793">
        <v>1167</v>
      </c>
      <c r="I10" s="795">
        <f t="shared" si="1"/>
        <v>9574</v>
      </c>
      <c r="J10" s="792">
        <v>8406</v>
      </c>
      <c r="K10" s="793">
        <v>500</v>
      </c>
      <c r="L10" s="796">
        <f t="shared" si="2"/>
        <v>8906</v>
      </c>
      <c r="M10" s="797"/>
      <c r="N10" s="798"/>
      <c r="O10" s="795">
        <f t="shared" si="3"/>
        <v>0</v>
      </c>
      <c r="P10" s="799"/>
      <c r="Q10" s="798"/>
      <c r="R10" s="796">
        <f t="shared" si="4"/>
        <v>0</v>
      </c>
      <c r="S10" s="797"/>
      <c r="T10" s="798"/>
      <c r="U10" s="795">
        <f t="shared" si="5"/>
        <v>0</v>
      </c>
      <c r="V10" s="799"/>
      <c r="W10" s="798"/>
      <c r="X10" s="796">
        <f t="shared" si="6"/>
        <v>0</v>
      </c>
      <c r="Y10" s="797"/>
      <c r="Z10" s="798"/>
      <c r="AA10" s="795">
        <f t="shared" si="7"/>
        <v>0</v>
      </c>
      <c r="AB10" s="799"/>
      <c r="AC10" s="798"/>
      <c r="AD10" s="796">
        <f t="shared" si="8"/>
        <v>0</v>
      </c>
      <c r="AE10" s="797"/>
      <c r="AF10" s="798"/>
      <c r="AG10" s="795">
        <f t="shared" si="9"/>
        <v>0</v>
      </c>
      <c r="AH10" s="799"/>
      <c r="AI10" s="798"/>
      <c r="AJ10" s="796">
        <f t="shared" si="10"/>
        <v>0</v>
      </c>
      <c r="AK10" s="797"/>
      <c r="AL10" s="798"/>
      <c r="AM10" s="795">
        <f t="shared" si="11"/>
        <v>0</v>
      </c>
      <c r="AN10" s="800"/>
      <c r="AO10" s="801"/>
      <c r="AP10" s="796">
        <f t="shared" si="12"/>
        <v>0</v>
      </c>
      <c r="AQ10" s="802"/>
      <c r="AR10" s="801"/>
      <c r="AS10" s="795">
        <f t="shared" si="13"/>
        <v>0</v>
      </c>
      <c r="AT10" s="800"/>
      <c r="AU10" s="801"/>
      <c r="AV10" s="796">
        <f t="shared" si="14"/>
        <v>0</v>
      </c>
      <c r="AW10" s="802"/>
      <c r="AX10" s="801"/>
      <c r="AY10" s="795">
        <f t="shared" si="15"/>
        <v>0</v>
      </c>
      <c r="AZ10" s="800"/>
      <c r="BA10" s="801"/>
      <c r="BB10" s="796">
        <f t="shared" si="16"/>
        <v>0</v>
      </c>
      <c r="BC10" s="802"/>
      <c r="BD10" s="801"/>
      <c r="BE10" s="795">
        <f t="shared" si="17"/>
        <v>0</v>
      </c>
      <c r="BF10" s="800"/>
      <c r="BG10" s="801"/>
      <c r="BH10" s="796">
        <f t="shared" si="18"/>
        <v>0</v>
      </c>
      <c r="BI10" s="802"/>
      <c r="BJ10" s="801"/>
      <c r="BK10" s="795">
        <f t="shared" si="19"/>
        <v>0</v>
      </c>
      <c r="BL10" s="800"/>
      <c r="BM10" s="801"/>
      <c r="BN10" s="796">
        <f t="shared" si="20"/>
        <v>0</v>
      </c>
      <c r="BO10" s="802"/>
      <c r="BP10" s="801"/>
      <c r="BQ10" s="795">
        <f t="shared" si="21"/>
        <v>0</v>
      </c>
      <c r="BR10" s="800"/>
      <c r="BS10" s="801"/>
      <c r="BT10" s="796">
        <f t="shared" si="22"/>
        <v>0</v>
      </c>
      <c r="BU10" s="802"/>
      <c r="BV10" s="801"/>
      <c r="BW10" s="795">
        <f t="shared" si="23"/>
        <v>0</v>
      </c>
      <c r="BX10" s="803">
        <v>40167</v>
      </c>
    </row>
    <row r="11" spans="1:76" ht="24.75" customHeight="1">
      <c r="A11" s="789"/>
      <c r="B11" s="804" t="s">
        <v>1195</v>
      </c>
      <c r="C11" s="791" t="s">
        <v>848</v>
      </c>
      <c r="D11" s="792">
        <f t="shared" si="24"/>
        <v>125400</v>
      </c>
      <c r="E11" s="793">
        <f t="shared" si="25"/>
        <v>12219</v>
      </c>
      <c r="F11" s="794">
        <f t="shared" si="0"/>
        <v>137619</v>
      </c>
      <c r="G11" s="789">
        <v>22800</v>
      </c>
      <c r="H11" s="793">
        <v>3947</v>
      </c>
      <c r="I11" s="795">
        <f t="shared" si="1"/>
        <v>26747</v>
      </c>
      <c r="J11" s="792">
        <v>22800</v>
      </c>
      <c r="K11" s="793">
        <v>3196</v>
      </c>
      <c r="L11" s="796">
        <f t="shared" si="2"/>
        <v>25996</v>
      </c>
      <c r="M11" s="789">
        <v>22800</v>
      </c>
      <c r="N11" s="798">
        <v>2444</v>
      </c>
      <c r="O11" s="795">
        <f t="shared" si="3"/>
        <v>25244</v>
      </c>
      <c r="P11" s="792">
        <v>22800</v>
      </c>
      <c r="Q11" s="798">
        <v>1692</v>
      </c>
      <c r="R11" s="796">
        <f t="shared" si="4"/>
        <v>24492</v>
      </c>
      <c r="S11" s="789">
        <v>34200</v>
      </c>
      <c r="T11" s="798">
        <v>940</v>
      </c>
      <c r="U11" s="795">
        <f t="shared" si="5"/>
        <v>35140</v>
      </c>
      <c r="V11" s="799"/>
      <c r="W11" s="798"/>
      <c r="X11" s="796">
        <f t="shared" si="6"/>
        <v>0</v>
      </c>
      <c r="Y11" s="797"/>
      <c r="Z11" s="798"/>
      <c r="AA11" s="795">
        <f t="shared" si="7"/>
        <v>0</v>
      </c>
      <c r="AB11" s="799"/>
      <c r="AC11" s="798"/>
      <c r="AD11" s="796">
        <f t="shared" si="8"/>
        <v>0</v>
      </c>
      <c r="AE11" s="797"/>
      <c r="AF11" s="798"/>
      <c r="AG11" s="795">
        <f t="shared" si="9"/>
        <v>0</v>
      </c>
      <c r="AH11" s="799"/>
      <c r="AI11" s="798"/>
      <c r="AJ11" s="796">
        <f t="shared" si="10"/>
        <v>0</v>
      </c>
      <c r="AK11" s="797"/>
      <c r="AL11" s="798"/>
      <c r="AM11" s="795">
        <f t="shared" si="11"/>
        <v>0</v>
      </c>
      <c r="AN11" s="800"/>
      <c r="AO11" s="801"/>
      <c r="AP11" s="796">
        <f t="shared" si="12"/>
        <v>0</v>
      </c>
      <c r="AQ11" s="802"/>
      <c r="AR11" s="801"/>
      <c r="AS11" s="795">
        <f t="shared" si="13"/>
        <v>0</v>
      </c>
      <c r="AT11" s="800"/>
      <c r="AU11" s="801"/>
      <c r="AV11" s="796">
        <f t="shared" si="14"/>
        <v>0</v>
      </c>
      <c r="AW11" s="802"/>
      <c r="AX11" s="801"/>
      <c r="AY11" s="795">
        <f t="shared" si="15"/>
        <v>0</v>
      </c>
      <c r="AZ11" s="800"/>
      <c r="BA11" s="801"/>
      <c r="BB11" s="796">
        <f t="shared" si="16"/>
        <v>0</v>
      </c>
      <c r="BC11" s="802"/>
      <c r="BD11" s="801"/>
      <c r="BE11" s="795">
        <f t="shared" si="17"/>
        <v>0</v>
      </c>
      <c r="BF11" s="800"/>
      <c r="BG11" s="801"/>
      <c r="BH11" s="796">
        <f t="shared" si="18"/>
        <v>0</v>
      </c>
      <c r="BI11" s="802"/>
      <c r="BJ11" s="801"/>
      <c r="BK11" s="795">
        <f t="shared" si="19"/>
        <v>0</v>
      </c>
      <c r="BL11" s="800"/>
      <c r="BM11" s="801"/>
      <c r="BN11" s="796">
        <f t="shared" si="20"/>
        <v>0</v>
      </c>
      <c r="BO11" s="802"/>
      <c r="BP11" s="801"/>
      <c r="BQ11" s="795">
        <f t="shared" si="21"/>
        <v>0</v>
      </c>
      <c r="BR11" s="800"/>
      <c r="BS11" s="801"/>
      <c r="BT11" s="796">
        <f t="shared" si="22"/>
        <v>0</v>
      </c>
      <c r="BU11" s="802"/>
      <c r="BV11" s="801"/>
      <c r="BW11" s="795">
        <f t="shared" si="23"/>
        <v>0</v>
      </c>
      <c r="BX11" s="803">
        <v>41274</v>
      </c>
    </row>
    <row r="12" spans="1:76" ht="24.75" customHeight="1">
      <c r="A12" s="789"/>
      <c r="B12" s="804" t="s">
        <v>849</v>
      </c>
      <c r="C12" s="791" t="s">
        <v>848</v>
      </c>
      <c r="D12" s="792">
        <f t="shared" si="24"/>
        <v>69861</v>
      </c>
      <c r="E12" s="793">
        <f t="shared" si="25"/>
        <v>4443</v>
      </c>
      <c r="F12" s="794">
        <f t="shared" si="0"/>
        <v>74304</v>
      </c>
      <c r="G12" s="789">
        <v>19960</v>
      </c>
      <c r="H12" s="793">
        <v>2139</v>
      </c>
      <c r="I12" s="795">
        <f t="shared" si="1"/>
        <v>22099</v>
      </c>
      <c r="J12" s="792">
        <v>19960</v>
      </c>
      <c r="K12" s="793">
        <v>1481</v>
      </c>
      <c r="L12" s="796">
        <f t="shared" si="2"/>
        <v>21441</v>
      </c>
      <c r="M12" s="797">
        <v>29941</v>
      </c>
      <c r="N12" s="798">
        <v>823</v>
      </c>
      <c r="O12" s="795">
        <f t="shared" si="3"/>
        <v>30764</v>
      </c>
      <c r="P12" s="799"/>
      <c r="Q12" s="798"/>
      <c r="R12" s="796">
        <f t="shared" si="4"/>
        <v>0</v>
      </c>
      <c r="S12" s="797"/>
      <c r="T12" s="798"/>
      <c r="U12" s="795">
        <f t="shared" si="5"/>
        <v>0</v>
      </c>
      <c r="V12" s="799"/>
      <c r="W12" s="798"/>
      <c r="X12" s="796">
        <f t="shared" si="6"/>
        <v>0</v>
      </c>
      <c r="Y12" s="797"/>
      <c r="Z12" s="798"/>
      <c r="AA12" s="795">
        <f t="shared" si="7"/>
        <v>0</v>
      </c>
      <c r="AB12" s="799"/>
      <c r="AC12" s="798"/>
      <c r="AD12" s="796">
        <f t="shared" si="8"/>
        <v>0</v>
      </c>
      <c r="AE12" s="797"/>
      <c r="AF12" s="798"/>
      <c r="AG12" s="795">
        <f t="shared" si="9"/>
        <v>0</v>
      </c>
      <c r="AH12" s="799"/>
      <c r="AI12" s="798"/>
      <c r="AJ12" s="796">
        <f t="shared" si="10"/>
        <v>0</v>
      </c>
      <c r="AK12" s="797"/>
      <c r="AL12" s="798"/>
      <c r="AM12" s="795">
        <f t="shared" si="11"/>
        <v>0</v>
      </c>
      <c r="AN12" s="800"/>
      <c r="AO12" s="801"/>
      <c r="AP12" s="796">
        <f t="shared" si="12"/>
        <v>0</v>
      </c>
      <c r="AQ12" s="802"/>
      <c r="AR12" s="801"/>
      <c r="AS12" s="795">
        <f t="shared" si="13"/>
        <v>0</v>
      </c>
      <c r="AT12" s="800"/>
      <c r="AU12" s="801"/>
      <c r="AV12" s="796">
        <f t="shared" si="14"/>
        <v>0</v>
      </c>
      <c r="AW12" s="802"/>
      <c r="AX12" s="801"/>
      <c r="AY12" s="795">
        <f t="shared" si="15"/>
        <v>0</v>
      </c>
      <c r="AZ12" s="800"/>
      <c r="BA12" s="801"/>
      <c r="BB12" s="796">
        <f t="shared" si="16"/>
        <v>0</v>
      </c>
      <c r="BC12" s="802"/>
      <c r="BD12" s="801"/>
      <c r="BE12" s="795">
        <f t="shared" si="17"/>
        <v>0</v>
      </c>
      <c r="BF12" s="800"/>
      <c r="BG12" s="801"/>
      <c r="BH12" s="796">
        <f t="shared" si="18"/>
        <v>0</v>
      </c>
      <c r="BI12" s="802"/>
      <c r="BJ12" s="801"/>
      <c r="BK12" s="795">
        <f t="shared" si="19"/>
        <v>0</v>
      </c>
      <c r="BL12" s="800"/>
      <c r="BM12" s="801"/>
      <c r="BN12" s="796">
        <f t="shared" si="20"/>
        <v>0</v>
      </c>
      <c r="BO12" s="802"/>
      <c r="BP12" s="801"/>
      <c r="BQ12" s="795">
        <f t="shared" si="21"/>
        <v>0</v>
      </c>
      <c r="BR12" s="800"/>
      <c r="BS12" s="801"/>
      <c r="BT12" s="796">
        <f t="shared" si="22"/>
        <v>0</v>
      </c>
      <c r="BU12" s="802"/>
      <c r="BV12" s="801"/>
      <c r="BW12" s="795">
        <f t="shared" si="23"/>
        <v>0</v>
      </c>
      <c r="BX12" s="803">
        <v>40543</v>
      </c>
    </row>
    <row r="13" spans="1:76" ht="24.75" customHeight="1">
      <c r="A13" s="789"/>
      <c r="B13" s="804" t="s">
        <v>850</v>
      </c>
      <c r="C13" s="791" t="s">
        <v>848</v>
      </c>
      <c r="D13" s="792">
        <f t="shared" si="24"/>
        <v>72692</v>
      </c>
      <c r="E13" s="793">
        <f t="shared" si="25"/>
        <v>5860</v>
      </c>
      <c r="F13" s="794">
        <f t="shared" si="0"/>
        <v>78552</v>
      </c>
      <c r="G13" s="789">
        <v>16154</v>
      </c>
      <c r="H13" s="793">
        <v>2264</v>
      </c>
      <c r="I13" s="795">
        <f t="shared" si="1"/>
        <v>18418</v>
      </c>
      <c r="J13" s="792">
        <v>16154</v>
      </c>
      <c r="K13" s="793">
        <v>1731</v>
      </c>
      <c r="L13" s="796">
        <f t="shared" si="2"/>
        <v>17885</v>
      </c>
      <c r="M13" s="797">
        <v>16154</v>
      </c>
      <c r="N13" s="798">
        <v>1199</v>
      </c>
      <c r="O13" s="795">
        <f t="shared" si="3"/>
        <v>17353</v>
      </c>
      <c r="P13" s="799">
        <v>24230</v>
      </c>
      <c r="Q13" s="798">
        <v>666</v>
      </c>
      <c r="R13" s="796">
        <f t="shared" si="4"/>
        <v>24896</v>
      </c>
      <c r="S13" s="797"/>
      <c r="T13" s="798"/>
      <c r="U13" s="795">
        <f t="shared" si="5"/>
        <v>0</v>
      </c>
      <c r="V13" s="799"/>
      <c r="W13" s="798"/>
      <c r="X13" s="796">
        <f t="shared" si="6"/>
        <v>0</v>
      </c>
      <c r="Y13" s="797"/>
      <c r="Z13" s="798"/>
      <c r="AA13" s="795">
        <f t="shared" si="7"/>
        <v>0</v>
      </c>
      <c r="AB13" s="799"/>
      <c r="AC13" s="798"/>
      <c r="AD13" s="796">
        <f t="shared" si="8"/>
        <v>0</v>
      </c>
      <c r="AE13" s="797"/>
      <c r="AF13" s="798"/>
      <c r="AG13" s="795">
        <f t="shared" si="9"/>
        <v>0</v>
      </c>
      <c r="AH13" s="799"/>
      <c r="AI13" s="798"/>
      <c r="AJ13" s="796">
        <f t="shared" si="10"/>
        <v>0</v>
      </c>
      <c r="AK13" s="797"/>
      <c r="AL13" s="798"/>
      <c r="AM13" s="795">
        <f t="shared" si="11"/>
        <v>0</v>
      </c>
      <c r="AN13" s="800"/>
      <c r="AO13" s="801"/>
      <c r="AP13" s="796">
        <f t="shared" si="12"/>
        <v>0</v>
      </c>
      <c r="AQ13" s="802"/>
      <c r="AR13" s="801"/>
      <c r="AS13" s="795">
        <f t="shared" si="13"/>
        <v>0</v>
      </c>
      <c r="AT13" s="800"/>
      <c r="AU13" s="801"/>
      <c r="AV13" s="796">
        <f t="shared" si="14"/>
        <v>0</v>
      </c>
      <c r="AW13" s="802"/>
      <c r="AX13" s="801"/>
      <c r="AY13" s="795">
        <f t="shared" si="15"/>
        <v>0</v>
      </c>
      <c r="AZ13" s="800"/>
      <c r="BA13" s="801"/>
      <c r="BB13" s="796">
        <f t="shared" si="16"/>
        <v>0</v>
      </c>
      <c r="BC13" s="802"/>
      <c r="BD13" s="801"/>
      <c r="BE13" s="795">
        <f t="shared" si="17"/>
        <v>0</v>
      </c>
      <c r="BF13" s="800"/>
      <c r="BG13" s="801"/>
      <c r="BH13" s="796">
        <f t="shared" si="18"/>
        <v>0</v>
      </c>
      <c r="BI13" s="802"/>
      <c r="BJ13" s="801"/>
      <c r="BK13" s="795">
        <f t="shared" si="19"/>
        <v>0</v>
      </c>
      <c r="BL13" s="800"/>
      <c r="BM13" s="801"/>
      <c r="BN13" s="796">
        <f t="shared" si="20"/>
        <v>0</v>
      </c>
      <c r="BO13" s="802"/>
      <c r="BP13" s="801"/>
      <c r="BQ13" s="795">
        <f t="shared" si="21"/>
        <v>0</v>
      </c>
      <c r="BR13" s="800"/>
      <c r="BS13" s="801"/>
      <c r="BT13" s="796">
        <f t="shared" si="22"/>
        <v>0</v>
      </c>
      <c r="BU13" s="802"/>
      <c r="BV13" s="801"/>
      <c r="BW13" s="795">
        <f t="shared" si="23"/>
        <v>0</v>
      </c>
      <c r="BX13" s="803">
        <v>40908</v>
      </c>
    </row>
    <row r="14" spans="1:76" ht="24.75" customHeight="1">
      <c r="A14" s="789"/>
      <c r="B14" s="804" t="s">
        <v>851</v>
      </c>
      <c r="C14" s="791" t="s">
        <v>848</v>
      </c>
      <c r="D14" s="792">
        <f t="shared" si="24"/>
        <v>69970</v>
      </c>
      <c r="E14" s="793">
        <f t="shared" si="25"/>
        <v>5640</v>
      </c>
      <c r="F14" s="794">
        <f t="shared" si="0"/>
        <v>75610</v>
      </c>
      <c r="G14" s="789">
        <v>15549</v>
      </c>
      <c r="H14" s="793">
        <v>2179</v>
      </c>
      <c r="I14" s="795">
        <f t="shared" si="1"/>
        <v>17728</v>
      </c>
      <c r="J14" s="792">
        <v>15549</v>
      </c>
      <c r="K14" s="793">
        <v>1666</v>
      </c>
      <c r="L14" s="796">
        <f t="shared" si="2"/>
        <v>17215</v>
      </c>
      <c r="M14" s="797">
        <v>15549</v>
      </c>
      <c r="N14" s="798">
        <v>1154</v>
      </c>
      <c r="O14" s="795">
        <f t="shared" si="3"/>
        <v>16703</v>
      </c>
      <c r="P14" s="799">
        <v>23323</v>
      </c>
      <c r="Q14" s="798">
        <v>641</v>
      </c>
      <c r="R14" s="796">
        <f t="shared" si="4"/>
        <v>23964</v>
      </c>
      <c r="S14" s="797"/>
      <c r="T14" s="798"/>
      <c r="U14" s="795">
        <f t="shared" si="5"/>
        <v>0</v>
      </c>
      <c r="V14" s="799"/>
      <c r="W14" s="798"/>
      <c r="X14" s="796">
        <f t="shared" si="6"/>
        <v>0</v>
      </c>
      <c r="Y14" s="797"/>
      <c r="Z14" s="798"/>
      <c r="AA14" s="795">
        <f t="shared" si="7"/>
        <v>0</v>
      </c>
      <c r="AB14" s="799"/>
      <c r="AC14" s="798"/>
      <c r="AD14" s="796">
        <f t="shared" si="8"/>
        <v>0</v>
      </c>
      <c r="AE14" s="797"/>
      <c r="AF14" s="798"/>
      <c r="AG14" s="795">
        <f t="shared" si="9"/>
        <v>0</v>
      </c>
      <c r="AH14" s="799"/>
      <c r="AI14" s="798"/>
      <c r="AJ14" s="796">
        <f t="shared" si="10"/>
        <v>0</v>
      </c>
      <c r="AK14" s="797"/>
      <c r="AL14" s="798"/>
      <c r="AM14" s="795">
        <f t="shared" si="11"/>
        <v>0</v>
      </c>
      <c r="AN14" s="800"/>
      <c r="AO14" s="801"/>
      <c r="AP14" s="796">
        <f t="shared" si="12"/>
        <v>0</v>
      </c>
      <c r="AQ14" s="802"/>
      <c r="AR14" s="801"/>
      <c r="AS14" s="795">
        <f t="shared" si="13"/>
        <v>0</v>
      </c>
      <c r="AT14" s="800"/>
      <c r="AU14" s="801"/>
      <c r="AV14" s="796">
        <f t="shared" si="14"/>
        <v>0</v>
      </c>
      <c r="AW14" s="802"/>
      <c r="AX14" s="801"/>
      <c r="AY14" s="795">
        <f t="shared" si="15"/>
        <v>0</v>
      </c>
      <c r="AZ14" s="800"/>
      <c r="BA14" s="801"/>
      <c r="BB14" s="796">
        <f t="shared" si="16"/>
        <v>0</v>
      </c>
      <c r="BC14" s="802"/>
      <c r="BD14" s="801"/>
      <c r="BE14" s="795">
        <f t="shared" si="17"/>
        <v>0</v>
      </c>
      <c r="BF14" s="800"/>
      <c r="BG14" s="801"/>
      <c r="BH14" s="796">
        <f t="shared" si="18"/>
        <v>0</v>
      </c>
      <c r="BI14" s="802"/>
      <c r="BJ14" s="801"/>
      <c r="BK14" s="795">
        <f t="shared" si="19"/>
        <v>0</v>
      </c>
      <c r="BL14" s="800"/>
      <c r="BM14" s="801"/>
      <c r="BN14" s="796">
        <f t="shared" si="20"/>
        <v>0</v>
      </c>
      <c r="BO14" s="802"/>
      <c r="BP14" s="801"/>
      <c r="BQ14" s="795">
        <f t="shared" si="21"/>
        <v>0</v>
      </c>
      <c r="BR14" s="800"/>
      <c r="BS14" s="801"/>
      <c r="BT14" s="796">
        <f t="shared" si="22"/>
        <v>0</v>
      </c>
      <c r="BU14" s="802"/>
      <c r="BV14" s="801"/>
      <c r="BW14" s="795">
        <f t="shared" si="23"/>
        <v>0</v>
      </c>
      <c r="BX14" s="803">
        <v>40908</v>
      </c>
    </row>
    <row r="15" spans="1:76" ht="24.75" customHeight="1">
      <c r="A15" s="789"/>
      <c r="B15" s="804" t="s">
        <v>852</v>
      </c>
      <c r="C15" s="791" t="s">
        <v>848</v>
      </c>
      <c r="D15" s="792">
        <f t="shared" si="24"/>
        <v>55546</v>
      </c>
      <c r="E15" s="793">
        <f t="shared" si="25"/>
        <v>4478</v>
      </c>
      <c r="F15" s="794">
        <f t="shared" si="0"/>
        <v>60024</v>
      </c>
      <c r="G15" s="789">
        <v>12343</v>
      </c>
      <c r="H15" s="793">
        <v>1730</v>
      </c>
      <c r="I15" s="795">
        <f t="shared" si="1"/>
        <v>14073</v>
      </c>
      <c r="J15" s="792">
        <v>12343</v>
      </c>
      <c r="K15" s="793">
        <v>1323</v>
      </c>
      <c r="L15" s="796">
        <f t="shared" si="2"/>
        <v>13666</v>
      </c>
      <c r="M15" s="797">
        <v>12343</v>
      </c>
      <c r="N15" s="798">
        <v>916</v>
      </c>
      <c r="O15" s="795">
        <f t="shared" si="3"/>
        <v>13259</v>
      </c>
      <c r="P15" s="799">
        <v>18517</v>
      </c>
      <c r="Q15" s="798">
        <v>509</v>
      </c>
      <c r="R15" s="796">
        <f t="shared" si="4"/>
        <v>19026</v>
      </c>
      <c r="S15" s="797"/>
      <c r="T15" s="798"/>
      <c r="U15" s="795">
        <f t="shared" si="5"/>
        <v>0</v>
      </c>
      <c r="V15" s="799"/>
      <c r="W15" s="798"/>
      <c r="X15" s="796">
        <f t="shared" si="6"/>
        <v>0</v>
      </c>
      <c r="Y15" s="797"/>
      <c r="Z15" s="798"/>
      <c r="AA15" s="795">
        <f t="shared" si="7"/>
        <v>0</v>
      </c>
      <c r="AB15" s="799"/>
      <c r="AC15" s="798"/>
      <c r="AD15" s="796">
        <f t="shared" si="8"/>
        <v>0</v>
      </c>
      <c r="AE15" s="797"/>
      <c r="AF15" s="798"/>
      <c r="AG15" s="795">
        <f t="shared" si="9"/>
        <v>0</v>
      </c>
      <c r="AH15" s="799"/>
      <c r="AI15" s="798"/>
      <c r="AJ15" s="796">
        <f t="shared" si="10"/>
        <v>0</v>
      </c>
      <c r="AK15" s="797"/>
      <c r="AL15" s="798"/>
      <c r="AM15" s="795">
        <f t="shared" si="11"/>
        <v>0</v>
      </c>
      <c r="AN15" s="800"/>
      <c r="AO15" s="801"/>
      <c r="AP15" s="796">
        <f t="shared" si="12"/>
        <v>0</v>
      </c>
      <c r="AQ15" s="802"/>
      <c r="AR15" s="801"/>
      <c r="AS15" s="795">
        <f t="shared" si="13"/>
        <v>0</v>
      </c>
      <c r="AT15" s="800"/>
      <c r="AU15" s="801"/>
      <c r="AV15" s="796">
        <f t="shared" si="14"/>
        <v>0</v>
      </c>
      <c r="AW15" s="802"/>
      <c r="AX15" s="801"/>
      <c r="AY15" s="795">
        <f t="shared" si="15"/>
        <v>0</v>
      </c>
      <c r="AZ15" s="800"/>
      <c r="BA15" s="801"/>
      <c r="BB15" s="796">
        <f t="shared" si="16"/>
        <v>0</v>
      </c>
      <c r="BC15" s="802"/>
      <c r="BD15" s="801"/>
      <c r="BE15" s="795">
        <f t="shared" si="17"/>
        <v>0</v>
      </c>
      <c r="BF15" s="800"/>
      <c r="BG15" s="801"/>
      <c r="BH15" s="796">
        <f t="shared" si="18"/>
        <v>0</v>
      </c>
      <c r="BI15" s="802"/>
      <c r="BJ15" s="801"/>
      <c r="BK15" s="795">
        <f t="shared" si="19"/>
        <v>0</v>
      </c>
      <c r="BL15" s="800"/>
      <c r="BM15" s="801"/>
      <c r="BN15" s="796">
        <f t="shared" si="20"/>
        <v>0</v>
      </c>
      <c r="BO15" s="802"/>
      <c r="BP15" s="801"/>
      <c r="BQ15" s="795">
        <f t="shared" si="21"/>
        <v>0</v>
      </c>
      <c r="BR15" s="800"/>
      <c r="BS15" s="801"/>
      <c r="BT15" s="796">
        <f t="shared" si="22"/>
        <v>0</v>
      </c>
      <c r="BU15" s="802"/>
      <c r="BV15" s="801"/>
      <c r="BW15" s="795">
        <f t="shared" si="23"/>
        <v>0</v>
      </c>
      <c r="BX15" s="803">
        <v>40908</v>
      </c>
    </row>
    <row r="16" spans="1:76" ht="24.75" customHeight="1">
      <c r="A16" s="789"/>
      <c r="B16" s="804" t="s">
        <v>853</v>
      </c>
      <c r="C16" s="791" t="s">
        <v>848</v>
      </c>
      <c r="D16" s="792">
        <f t="shared" si="24"/>
        <v>242266</v>
      </c>
      <c r="E16" s="793">
        <f t="shared" si="25"/>
        <v>31691</v>
      </c>
      <c r="F16" s="794">
        <f t="shared" si="0"/>
        <v>273957</v>
      </c>
      <c r="G16" s="789">
        <v>32302</v>
      </c>
      <c r="H16" s="793">
        <v>7723</v>
      </c>
      <c r="I16" s="795">
        <f t="shared" si="1"/>
        <v>40025</v>
      </c>
      <c r="J16" s="792">
        <v>32302</v>
      </c>
      <c r="K16" s="793">
        <v>6658</v>
      </c>
      <c r="L16" s="796">
        <f t="shared" si="2"/>
        <v>38960</v>
      </c>
      <c r="M16" s="797">
        <v>32302</v>
      </c>
      <c r="N16" s="798">
        <v>5592</v>
      </c>
      <c r="O16" s="795">
        <f t="shared" si="3"/>
        <v>37894</v>
      </c>
      <c r="P16" s="799">
        <v>32302</v>
      </c>
      <c r="Q16" s="798">
        <v>4527</v>
      </c>
      <c r="R16" s="796">
        <f t="shared" si="4"/>
        <v>36829</v>
      </c>
      <c r="S16" s="797">
        <v>32302</v>
      </c>
      <c r="T16" s="798">
        <v>3462</v>
      </c>
      <c r="U16" s="795">
        <f t="shared" si="5"/>
        <v>35764</v>
      </c>
      <c r="V16" s="799">
        <v>32302</v>
      </c>
      <c r="W16" s="798">
        <v>2397</v>
      </c>
      <c r="X16" s="796">
        <f t="shared" si="6"/>
        <v>34699</v>
      </c>
      <c r="Y16" s="797">
        <v>48454</v>
      </c>
      <c r="Z16" s="798">
        <v>1332</v>
      </c>
      <c r="AA16" s="795">
        <f t="shared" si="7"/>
        <v>49786</v>
      </c>
      <c r="AB16" s="799"/>
      <c r="AC16" s="798"/>
      <c r="AD16" s="796">
        <f t="shared" si="8"/>
        <v>0</v>
      </c>
      <c r="AE16" s="797"/>
      <c r="AF16" s="798"/>
      <c r="AG16" s="795">
        <f t="shared" si="9"/>
        <v>0</v>
      </c>
      <c r="AH16" s="799"/>
      <c r="AI16" s="798"/>
      <c r="AJ16" s="796">
        <f t="shared" si="10"/>
        <v>0</v>
      </c>
      <c r="AK16" s="797"/>
      <c r="AL16" s="798"/>
      <c r="AM16" s="795">
        <f t="shared" si="11"/>
        <v>0</v>
      </c>
      <c r="AN16" s="800"/>
      <c r="AO16" s="801"/>
      <c r="AP16" s="796">
        <f t="shared" si="12"/>
        <v>0</v>
      </c>
      <c r="AQ16" s="802"/>
      <c r="AR16" s="801"/>
      <c r="AS16" s="795">
        <f t="shared" si="13"/>
        <v>0</v>
      </c>
      <c r="AT16" s="800"/>
      <c r="AU16" s="801"/>
      <c r="AV16" s="796">
        <f t="shared" si="14"/>
        <v>0</v>
      </c>
      <c r="AW16" s="802"/>
      <c r="AX16" s="801"/>
      <c r="AY16" s="795">
        <f t="shared" si="15"/>
        <v>0</v>
      </c>
      <c r="AZ16" s="800"/>
      <c r="BA16" s="801"/>
      <c r="BB16" s="796">
        <f t="shared" si="16"/>
        <v>0</v>
      </c>
      <c r="BC16" s="802"/>
      <c r="BD16" s="801"/>
      <c r="BE16" s="795">
        <f t="shared" si="17"/>
        <v>0</v>
      </c>
      <c r="BF16" s="800"/>
      <c r="BG16" s="801"/>
      <c r="BH16" s="796">
        <f t="shared" si="18"/>
        <v>0</v>
      </c>
      <c r="BI16" s="802"/>
      <c r="BJ16" s="801"/>
      <c r="BK16" s="795">
        <f t="shared" si="19"/>
        <v>0</v>
      </c>
      <c r="BL16" s="800"/>
      <c r="BM16" s="801"/>
      <c r="BN16" s="796">
        <f t="shared" si="20"/>
        <v>0</v>
      </c>
      <c r="BO16" s="802"/>
      <c r="BP16" s="801"/>
      <c r="BQ16" s="795">
        <f t="shared" si="21"/>
        <v>0</v>
      </c>
      <c r="BR16" s="800"/>
      <c r="BS16" s="801"/>
      <c r="BT16" s="796">
        <f t="shared" si="22"/>
        <v>0</v>
      </c>
      <c r="BU16" s="802"/>
      <c r="BV16" s="801"/>
      <c r="BW16" s="795">
        <f t="shared" si="23"/>
        <v>0</v>
      </c>
      <c r="BX16" s="803">
        <v>42004</v>
      </c>
    </row>
    <row r="17" spans="1:76" ht="24.75" customHeight="1">
      <c r="A17" s="805"/>
      <c r="B17" s="790" t="s">
        <v>854</v>
      </c>
      <c r="C17" s="791" t="s">
        <v>848</v>
      </c>
      <c r="D17" s="792">
        <f t="shared" si="24"/>
        <v>641346</v>
      </c>
      <c r="E17" s="793">
        <f t="shared" si="25"/>
        <v>136560</v>
      </c>
      <c r="F17" s="794">
        <f t="shared" si="0"/>
        <v>777906</v>
      </c>
      <c r="G17" s="789">
        <v>51307</v>
      </c>
      <c r="H17" s="793">
        <v>20653</v>
      </c>
      <c r="I17" s="795">
        <f t="shared" si="1"/>
        <v>71960</v>
      </c>
      <c r="J17" s="792">
        <v>51307</v>
      </c>
      <c r="K17" s="793">
        <v>18967</v>
      </c>
      <c r="L17" s="796">
        <f t="shared" si="2"/>
        <v>70274</v>
      </c>
      <c r="M17" s="797">
        <v>51307</v>
      </c>
      <c r="N17" s="798">
        <v>17281</v>
      </c>
      <c r="O17" s="795">
        <f t="shared" si="3"/>
        <v>68588</v>
      </c>
      <c r="P17" s="799">
        <v>51308</v>
      </c>
      <c r="Q17" s="798">
        <v>15595</v>
      </c>
      <c r="R17" s="796">
        <f t="shared" si="4"/>
        <v>66903</v>
      </c>
      <c r="S17" s="797">
        <v>51308</v>
      </c>
      <c r="T17" s="798">
        <v>13909</v>
      </c>
      <c r="U17" s="795">
        <f t="shared" si="5"/>
        <v>65217</v>
      </c>
      <c r="V17" s="799">
        <v>51308</v>
      </c>
      <c r="W17" s="798">
        <v>12223</v>
      </c>
      <c r="X17" s="796">
        <f t="shared" si="6"/>
        <v>63531</v>
      </c>
      <c r="Y17" s="797">
        <v>51308</v>
      </c>
      <c r="Z17" s="798">
        <v>10537</v>
      </c>
      <c r="AA17" s="795">
        <f t="shared" si="7"/>
        <v>61845</v>
      </c>
      <c r="AB17" s="799">
        <v>51308</v>
      </c>
      <c r="AC17" s="798">
        <v>8851</v>
      </c>
      <c r="AD17" s="796">
        <f t="shared" si="8"/>
        <v>60159</v>
      </c>
      <c r="AE17" s="797">
        <v>51308</v>
      </c>
      <c r="AF17" s="798">
        <v>7165</v>
      </c>
      <c r="AG17" s="795">
        <f t="shared" si="9"/>
        <v>58473</v>
      </c>
      <c r="AH17" s="799">
        <v>51308</v>
      </c>
      <c r="AI17" s="798">
        <v>5479</v>
      </c>
      <c r="AJ17" s="796">
        <f t="shared" si="10"/>
        <v>56787</v>
      </c>
      <c r="AK17" s="797">
        <v>51308</v>
      </c>
      <c r="AL17" s="798">
        <v>3793</v>
      </c>
      <c r="AM17" s="795">
        <f t="shared" si="11"/>
        <v>55101</v>
      </c>
      <c r="AN17" s="799">
        <v>76961</v>
      </c>
      <c r="AO17" s="798">
        <v>2107</v>
      </c>
      <c r="AP17" s="796">
        <f t="shared" si="12"/>
        <v>79068</v>
      </c>
      <c r="AQ17" s="802"/>
      <c r="AR17" s="801"/>
      <c r="AS17" s="795">
        <f t="shared" si="13"/>
        <v>0</v>
      </c>
      <c r="AT17" s="800"/>
      <c r="AU17" s="801"/>
      <c r="AV17" s="796">
        <f t="shared" si="14"/>
        <v>0</v>
      </c>
      <c r="AW17" s="802"/>
      <c r="AX17" s="801"/>
      <c r="AY17" s="795">
        <f t="shared" si="15"/>
        <v>0</v>
      </c>
      <c r="AZ17" s="800"/>
      <c r="BA17" s="801"/>
      <c r="BB17" s="796">
        <f t="shared" si="16"/>
        <v>0</v>
      </c>
      <c r="BC17" s="802"/>
      <c r="BD17" s="801"/>
      <c r="BE17" s="795">
        <f t="shared" si="17"/>
        <v>0</v>
      </c>
      <c r="BF17" s="800"/>
      <c r="BG17" s="801"/>
      <c r="BH17" s="796">
        <f t="shared" si="18"/>
        <v>0</v>
      </c>
      <c r="BI17" s="802"/>
      <c r="BJ17" s="801"/>
      <c r="BK17" s="795">
        <f t="shared" si="19"/>
        <v>0</v>
      </c>
      <c r="BL17" s="800"/>
      <c r="BM17" s="801"/>
      <c r="BN17" s="796">
        <f t="shared" si="20"/>
        <v>0</v>
      </c>
      <c r="BO17" s="802"/>
      <c r="BP17" s="801"/>
      <c r="BQ17" s="795">
        <f t="shared" si="21"/>
        <v>0</v>
      </c>
      <c r="BR17" s="800"/>
      <c r="BS17" s="801"/>
      <c r="BT17" s="796">
        <f t="shared" si="22"/>
        <v>0</v>
      </c>
      <c r="BU17" s="802"/>
      <c r="BV17" s="801"/>
      <c r="BW17" s="795">
        <f t="shared" si="23"/>
        <v>0</v>
      </c>
      <c r="BX17" s="803">
        <v>43830</v>
      </c>
    </row>
    <row r="18" spans="1:76" ht="24.75" customHeight="1">
      <c r="A18" s="805"/>
      <c r="B18" s="790" t="s">
        <v>650</v>
      </c>
      <c r="C18" s="791" t="s">
        <v>848</v>
      </c>
      <c r="D18" s="792">
        <f t="shared" si="24"/>
        <v>252700</v>
      </c>
      <c r="E18" s="793">
        <f t="shared" si="25"/>
        <v>41161</v>
      </c>
      <c r="F18" s="794">
        <f t="shared" si="0"/>
        <v>293861</v>
      </c>
      <c r="G18" s="789">
        <v>26600</v>
      </c>
      <c r="H18" s="793">
        <v>8058</v>
      </c>
      <c r="I18" s="795">
        <f t="shared" si="1"/>
        <v>34658</v>
      </c>
      <c r="J18" s="792">
        <v>26600</v>
      </c>
      <c r="K18" s="793">
        <v>7187</v>
      </c>
      <c r="L18" s="796">
        <f t="shared" si="2"/>
        <v>33787</v>
      </c>
      <c r="M18" s="797">
        <v>26600</v>
      </c>
      <c r="N18" s="798">
        <v>6316</v>
      </c>
      <c r="O18" s="795">
        <f t="shared" si="3"/>
        <v>32916</v>
      </c>
      <c r="P18" s="799">
        <v>26600</v>
      </c>
      <c r="Q18" s="798">
        <v>5445</v>
      </c>
      <c r="R18" s="796">
        <f t="shared" si="4"/>
        <v>32045</v>
      </c>
      <c r="S18" s="797">
        <v>26600</v>
      </c>
      <c r="T18" s="798">
        <v>4573</v>
      </c>
      <c r="U18" s="795">
        <f t="shared" si="5"/>
        <v>31173</v>
      </c>
      <c r="V18" s="799">
        <v>26600</v>
      </c>
      <c r="W18" s="798">
        <v>3702</v>
      </c>
      <c r="X18" s="796">
        <f t="shared" si="6"/>
        <v>30302</v>
      </c>
      <c r="Y18" s="797">
        <v>26600</v>
      </c>
      <c r="Z18" s="798">
        <v>2831</v>
      </c>
      <c r="AA18" s="795">
        <f t="shared" si="7"/>
        <v>29431</v>
      </c>
      <c r="AB18" s="799">
        <v>26600</v>
      </c>
      <c r="AC18" s="798">
        <v>1960</v>
      </c>
      <c r="AD18" s="796">
        <f t="shared" si="8"/>
        <v>28560</v>
      </c>
      <c r="AE18" s="797">
        <v>39900</v>
      </c>
      <c r="AF18" s="798">
        <v>1089</v>
      </c>
      <c r="AG18" s="795">
        <f t="shared" si="9"/>
        <v>40989</v>
      </c>
      <c r="AH18" s="799"/>
      <c r="AI18" s="798"/>
      <c r="AJ18" s="796">
        <f t="shared" si="10"/>
        <v>0</v>
      </c>
      <c r="AK18" s="797"/>
      <c r="AL18" s="798"/>
      <c r="AM18" s="795">
        <f t="shared" si="11"/>
        <v>0</v>
      </c>
      <c r="AN18" s="800"/>
      <c r="AO18" s="801"/>
      <c r="AP18" s="796">
        <f t="shared" si="12"/>
        <v>0</v>
      </c>
      <c r="AQ18" s="802"/>
      <c r="AR18" s="801"/>
      <c r="AS18" s="795">
        <f t="shared" si="13"/>
        <v>0</v>
      </c>
      <c r="AT18" s="800"/>
      <c r="AU18" s="801"/>
      <c r="AV18" s="796">
        <f t="shared" si="14"/>
        <v>0</v>
      </c>
      <c r="AW18" s="802"/>
      <c r="AX18" s="801"/>
      <c r="AY18" s="795">
        <f t="shared" si="15"/>
        <v>0</v>
      </c>
      <c r="AZ18" s="800"/>
      <c r="BA18" s="801"/>
      <c r="BB18" s="796">
        <f t="shared" si="16"/>
        <v>0</v>
      </c>
      <c r="BC18" s="802"/>
      <c r="BD18" s="801"/>
      <c r="BE18" s="795">
        <f t="shared" si="17"/>
        <v>0</v>
      </c>
      <c r="BF18" s="800"/>
      <c r="BG18" s="801"/>
      <c r="BH18" s="796">
        <f t="shared" si="18"/>
        <v>0</v>
      </c>
      <c r="BI18" s="802"/>
      <c r="BJ18" s="801"/>
      <c r="BK18" s="795">
        <f t="shared" si="19"/>
        <v>0</v>
      </c>
      <c r="BL18" s="800"/>
      <c r="BM18" s="801"/>
      <c r="BN18" s="796">
        <f t="shared" si="20"/>
        <v>0</v>
      </c>
      <c r="BO18" s="802"/>
      <c r="BP18" s="801"/>
      <c r="BQ18" s="795">
        <f t="shared" si="21"/>
        <v>0</v>
      </c>
      <c r="BR18" s="800"/>
      <c r="BS18" s="801"/>
      <c r="BT18" s="796">
        <f t="shared" si="22"/>
        <v>0</v>
      </c>
      <c r="BU18" s="802"/>
      <c r="BV18" s="801"/>
      <c r="BW18" s="795">
        <f t="shared" si="23"/>
        <v>0</v>
      </c>
      <c r="BX18" s="803">
        <v>42735</v>
      </c>
    </row>
    <row r="19" spans="1:76" ht="24.75" customHeight="1">
      <c r="A19" s="805"/>
      <c r="B19" s="790" t="s">
        <v>651</v>
      </c>
      <c r="C19" s="791" t="s">
        <v>845</v>
      </c>
      <c r="D19" s="792">
        <f t="shared" si="24"/>
        <v>104140</v>
      </c>
      <c r="E19" s="793">
        <f t="shared" si="25"/>
        <v>40979</v>
      </c>
      <c r="F19" s="794">
        <f t="shared" si="0"/>
        <v>145119</v>
      </c>
      <c r="G19" s="789">
        <v>11900</v>
      </c>
      <c r="H19" s="793">
        <v>8599</v>
      </c>
      <c r="I19" s="795">
        <f t="shared" si="1"/>
        <v>20499</v>
      </c>
      <c r="J19" s="792">
        <v>11900</v>
      </c>
      <c r="K19" s="793">
        <v>7588</v>
      </c>
      <c r="L19" s="796">
        <f t="shared" si="2"/>
        <v>19488</v>
      </c>
      <c r="M19" s="789">
        <v>11900</v>
      </c>
      <c r="N19" s="798">
        <v>6576</v>
      </c>
      <c r="O19" s="795">
        <f t="shared" si="3"/>
        <v>18476</v>
      </c>
      <c r="P19" s="792">
        <v>11900</v>
      </c>
      <c r="Q19" s="798">
        <v>5565</v>
      </c>
      <c r="R19" s="796">
        <f t="shared" si="4"/>
        <v>17465</v>
      </c>
      <c r="S19" s="789">
        <v>11900</v>
      </c>
      <c r="T19" s="798">
        <v>4553</v>
      </c>
      <c r="U19" s="795">
        <f t="shared" si="5"/>
        <v>16453</v>
      </c>
      <c r="V19" s="792">
        <v>11900</v>
      </c>
      <c r="W19" s="798">
        <v>3542</v>
      </c>
      <c r="X19" s="796">
        <f t="shared" si="6"/>
        <v>15442</v>
      </c>
      <c r="Y19" s="789">
        <v>11900</v>
      </c>
      <c r="Z19" s="798">
        <v>2530</v>
      </c>
      <c r="AA19" s="795">
        <f t="shared" si="7"/>
        <v>14430</v>
      </c>
      <c r="AB19" s="792">
        <v>11900</v>
      </c>
      <c r="AC19" s="798">
        <v>1519</v>
      </c>
      <c r="AD19" s="796">
        <f t="shared" si="8"/>
        <v>13419</v>
      </c>
      <c r="AE19" s="789">
        <v>8940</v>
      </c>
      <c r="AF19" s="798">
        <v>507</v>
      </c>
      <c r="AG19" s="795">
        <f t="shared" si="9"/>
        <v>9447</v>
      </c>
      <c r="AH19" s="799"/>
      <c r="AI19" s="798"/>
      <c r="AJ19" s="796">
        <f t="shared" si="10"/>
        <v>0</v>
      </c>
      <c r="AK19" s="797"/>
      <c r="AL19" s="798"/>
      <c r="AM19" s="795">
        <f t="shared" si="11"/>
        <v>0</v>
      </c>
      <c r="AN19" s="800"/>
      <c r="AO19" s="801"/>
      <c r="AP19" s="796">
        <f t="shared" si="12"/>
        <v>0</v>
      </c>
      <c r="AQ19" s="802"/>
      <c r="AR19" s="801"/>
      <c r="AS19" s="795">
        <f t="shared" si="13"/>
        <v>0</v>
      </c>
      <c r="AT19" s="800"/>
      <c r="AU19" s="801"/>
      <c r="AV19" s="796">
        <f t="shared" si="14"/>
        <v>0</v>
      </c>
      <c r="AW19" s="802"/>
      <c r="AX19" s="801"/>
      <c r="AY19" s="795">
        <f t="shared" si="15"/>
        <v>0</v>
      </c>
      <c r="AZ19" s="800"/>
      <c r="BA19" s="801"/>
      <c r="BB19" s="796">
        <f t="shared" si="16"/>
        <v>0</v>
      </c>
      <c r="BC19" s="802"/>
      <c r="BD19" s="801"/>
      <c r="BE19" s="795">
        <f t="shared" si="17"/>
        <v>0</v>
      </c>
      <c r="BF19" s="800"/>
      <c r="BG19" s="801"/>
      <c r="BH19" s="796">
        <f t="shared" si="18"/>
        <v>0</v>
      </c>
      <c r="BI19" s="802"/>
      <c r="BJ19" s="801"/>
      <c r="BK19" s="795">
        <f t="shared" si="19"/>
        <v>0</v>
      </c>
      <c r="BL19" s="800"/>
      <c r="BM19" s="801"/>
      <c r="BN19" s="796">
        <f t="shared" si="20"/>
        <v>0</v>
      </c>
      <c r="BO19" s="802"/>
      <c r="BP19" s="801"/>
      <c r="BQ19" s="795">
        <f t="shared" si="21"/>
        <v>0</v>
      </c>
      <c r="BR19" s="800"/>
      <c r="BS19" s="801"/>
      <c r="BT19" s="796">
        <f t="shared" si="22"/>
        <v>0</v>
      </c>
      <c r="BU19" s="802"/>
      <c r="BV19" s="801"/>
      <c r="BW19" s="795">
        <f t="shared" si="23"/>
        <v>0</v>
      </c>
      <c r="BX19" s="803">
        <v>42583</v>
      </c>
    </row>
    <row r="20" spans="1:76" ht="24.75" customHeight="1">
      <c r="A20" s="805"/>
      <c r="B20" s="790" t="s">
        <v>753</v>
      </c>
      <c r="C20" s="791" t="s">
        <v>845</v>
      </c>
      <c r="D20" s="792">
        <f t="shared" si="24"/>
        <v>507000</v>
      </c>
      <c r="E20" s="793">
        <f t="shared" si="25"/>
        <v>235316</v>
      </c>
      <c r="F20" s="794">
        <f t="shared" si="0"/>
        <v>742316</v>
      </c>
      <c r="G20" s="789">
        <v>17789</v>
      </c>
      <c r="H20" s="793">
        <v>32427</v>
      </c>
      <c r="I20" s="795">
        <f t="shared" si="1"/>
        <v>50216</v>
      </c>
      <c r="J20" s="792">
        <v>35579</v>
      </c>
      <c r="K20" s="793">
        <v>28238</v>
      </c>
      <c r="L20" s="796">
        <f t="shared" si="2"/>
        <v>63817</v>
      </c>
      <c r="M20" s="797">
        <v>35579</v>
      </c>
      <c r="N20" s="798">
        <v>26122</v>
      </c>
      <c r="O20" s="795">
        <f t="shared" si="3"/>
        <v>61701</v>
      </c>
      <c r="P20" s="799">
        <v>35579</v>
      </c>
      <c r="Q20" s="798">
        <v>24006</v>
      </c>
      <c r="R20" s="796">
        <f t="shared" si="4"/>
        <v>59585</v>
      </c>
      <c r="S20" s="797">
        <v>35579</v>
      </c>
      <c r="T20" s="798">
        <v>21957</v>
      </c>
      <c r="U20" s="795">
        <f t="shared" si="5"/>
        <v>57536</v>
      </c>
      <c r="V20" s="799">
        <v>35579</v>
      </c>
      <c r="W20" s="798">
        <v>19774</v>
      </c>
      <c r="X20" s="796">
        <f t="shared" si="6"/>
        <v>55353</v>
      </c>
      <c r="Y20" s="797">
        <v>35579</v>
      </c>
      <c r="Z20" s="798">
        <v>17657</v>
      </c>
      <c r="AA20" s="795">
        <f t="shared" si="7"/>
        <v>53236</v>
      </c>
      <c r="AB20" s="799">
        <v>35579</v>
      </c>
      <c r="AC20" s="798">
        <v>15541</v>
      </c>
      <c r="AD20" s="796">
        <f t="shared" si="8"/>
        <v>51120</v>
      </c>
      <c r="AE20" s="797">
        <v>35579</v>
      </c>
      <c r="AF20" s="798">
        <v>13467</v>
      </c>
      <c r="AG20" s="795">
        <f t="shared" si="9"/>
        <v>49046</v>
      </c>
      <c r="AH20" s="799">
        <v>35579</v>
      </c>
      <c r="AI20" s="798">
        <v>11309</v>
      </c>
      <c r="AJ20" s="796">
        <f t="shared" si="10"/>
        <v>46888</v>
      </c>
      <c r="AK20" s="797">
        <v>35579</v>
      </c>
      <c r="AL20" s="798">
        <v>9193</v>
      </c>
      <c r="AM20" s="795">
        <f t="shared" si="11"/>
        <v>44772</v>
      </c>
      <c r="AN20" s="799">
        <v>35579</v>
      </c>
      <c r="AO20" s="798">
        <v>7076</v>
      </c>
      <c r="AP20" s="796">
        <f t="shared" si="12"/>
        <v>42655</v>
      </c>
      <c r="AQ20" s="797">
        <v>35579</v>
      </c>
      <c r="AR20" s="798">
        <v>4977</v>
      </c>
      <c r="AS20" s="795">
        <f t="shared" si="13"/>
        <v>40556</v>
      </c>
      <c r="AT20" s="799">
        <v>35579</v>
      </c>
      <c r="AU20" s="798">
        <v>2844</v>
      </c>
      <c r="AV20" s="796">
        <f t="shared" si="14"/>
        <v>38423</v>
      </c>
      <c r="AW20" s="797">
        <v>26684</v>
      </c>
      <c r="AX20" s="798">
        <v>728</v>
      </c>
      <c r="AY20" s="795">
        <f t="shared" si="15"/>
        <v>27412</v>
      </c>
      <c r="AZ20" s="800"/>
      <c r="BA20" s="801"/>
      <c r="BB20" s="796">
        <f t="shared" si="16"/>
        <v>0</v>
      </c>
      <c r="BC20" s="802"/>
      <c r="BD20" s="801"/>
      <c r="BE20" s="795">
        <f t="shared" si="17"/>
        <v>0</v>
      </c>
      <c r="BF20" s="800"/>
      <c r="BG20" s="801"/>
      <c r="BH20" s="796">
        <f t="shared" si="18"/>
        <v>0</v>
      </c>
      <c r="BI20" s="802"/>
      <c r="BJ20" s="801"/>
      <c r="BK20" s="795">
        <f t="shared" si="19"/>
        <v>0</v>
      </c>
      <c r="BL20" s="800"/>
      <c r="BM20" s="801"/>
      <c r="BN20" s="796">
        <f t="shared" si="20"/>
        <v>0</v>
      </c>
      <c r="BO20" s="802"/>
      <c r="BP20" s="801"/>
      <c r="BQ20" s="795">
        <f t="shared" si="21"/>
        <v>0</v>
      </c>
      <c r="BR20" s="800"/>
      <c r="BS20" s="801"/>
      <c r="BT20" s="796">
        <f t="shared" si="22"/>
        <v>0</v>
      </c>
      <c r="BU20" s="802"/>
      <c r="BV20" s="801"/>
      <c r="BW20" s="795">
        <f t="shared" si="23"/>
        <v>0</v>
      </c>
      <c r="BX20" s="803">
        <v>44809</v>
      </c>
    </row>
    <row r="21" spans="1:76" ht="24.75" customHeight="1">
      <c r="A21" s="806"/>
      <c r="B21" s="804" t="s">
        <v>652</v>
      </c>
      <c r="C21" s="807" t="s">
        <v>848</v>
      </c>
      <c r="D21" s="792">
        <f t="shared" si="24"/>
        <v>220758</v>
      </c>
      <c r="E21" s="793">
        <f t="shared" si="25"/>
        <v>24950</v>
      </c>
      <c r="F21" s="794">
        <f t="shared" si="0"/>
        <v>245708</v>
      </c>
      <c r="G21" s="808">
        <v>28485</v>
      </c>
      <c r="H21" s="804">
        <v>5936</v>
      </c>
      <c r="I21" s="795">
        <f t="shared" si="1"/>
        <v>34421</v>
      </c>
      <c r="J21" s="809">
        <v>28485</v>
      </c>
      <c r="K21" s="804">
        <v>5131</v>
      </c>
      <c r="L21" s="796">
        <f t="shared" si="2"/>
        <v>33616</v>
      </c>
      <c r="M21" s="808">
        <v>28485</v>
      </c>
      <c r="N21" s="810">
        <v>4326</v>
      </c>
      <c r="O21" s="795">
        <f t="shared" si="3"/>
        <v>32811</v>
      </c>
      <c r="P21" s="809">
        <v>28485</v>
      </c>
      <c r="Q21" s="810">
        <v>3521</v>
      </c>
      <c r="R21" s="796">
        <f t="shared" si="4"/>
        <v>32006</v>
      </c>
      <c r="S21" s="808">
        <v>28485</v>
      </c>
      <c r="T21" s="810">
        <v>2716</v>
      </c>
      <c r="U21" s="795">
        <f t="shared" si="5"/>
        <v>31201</v>
      </c>
      <c r="V21" s="809">
        <v>28485</v>
      </c>
      <c r="W21" s="810">
        <v>1911</v>
      </c>
      <c r="X21" s="796">
        <f t="shared" si="6"/>
        <v>30396</v>
      </c>
      <c r="Y21" s="808">
        <v>28485</v>
      </c>
      <c r="Z21" s="810">
        <v>1107</v>
      </c>
      <c r="AA21" s="795">
        <f t="shared" si="7"/>
        <v>29592</v>
      </c>
      <c r="AB21" s="809">
        <v>21363</v>
      </c>
      <c r="AC21" s="810">
        <v>302</v>
      </c>
      <c r="AD21" s="796">
        <f t="shared" si="8"/>
        <v>21665</v>
      </c>
      <c r="AE21" s="789"/>
      <c r="AF21" s="793"/>
      <c r="AG21" s="795">
        <f t="shared" si="9"/>
        <v>0</v>
      </c>
      <c r="AH21" s="792"/>
      <c r="AI21" s="793"/>
      <c r="AJ21" s="796">
        <f t="shared" si="10"/>
        <v>0</v>
      </c>
      <c r="AK21" s="789"/>
      <c r="AL21" s="793"/>
      <c r="AM21" s="795">
        <f t="shared" si="11"/>
        <v>0</v>
      </c>
      <c r="AN21" s="800"/>
      <c r="AO21" s="801"/>
      <c r="AP21" s="796">
        <f t="shared" si="12"/>
        <v>0</v>
      </c>
      <c r="AQ21" s="802"/>
      <c r="AR21" s="801"/>
      <c r="AS21" s="795">
        <f t="shared" si="13"/>
        <v>0</v>
      </c>
      <c r="AT21" s="800"/>
      <c r="AU21" s="801"/>
      <c r="AV21" s="796">
        <f t="shared" si="14"/>
        <v>0</v>
      </c>
      <c r="AW21" s="802"/>
      <c r="AX21" s="801"/>
      <c r="AY21" s="795">
        <f t="shared" si="15"/>
        <v>0</v>
      </c>
      <c r="AZ21" s="800"/>
      <c r="BA21" s="801"/>
      <c r="BB21" s="796">
        <f t="shared" si="16"/>
        <v>0</v>
      </c>
      <c r="BC21" s="802"/>
      <c r="BD21" s="801"/>
      <c r="BE21" s="795">
        <f t="shared" si="17"/>
        <v>0</v>
      </c>
      <c r="BF21" s="800"/>
      <c r="BG21" s="801"/>
      <c r="BH21" s="796">
        <f t="shared" si="18"/>
        <v>0</v>
      </c>
      <c r="BI21" s="802"/>
      <c r="BJ21" s="801"/>
      <c r="BK21" s="795">
        <f t="shared" si="19"/>
        <v>0</v>
      </c>
      <c r="BL21" s="800"/>
      <c r="BM21" s="801"/>
      <c r="BN21" s="796">
        <f t="shared" si="20"/>
        <v>0</v>
      </c>
      <c r="BO21" s="802"/>
      <c r="BP21" s="801"/>
      <c r="BQ21" s="795">
        <f t="shared" si="21"/>
        <v>0</v>
      </c>
      <c r="BR21" s="800"/>
      <c r="BS21" s="801"/>
      <c r="BT21" s="796">
        <f t="shared" si="22"/>
        <v>0</v>
      </c>
      <c r="BU21" s="802"/>
      <c r="BV21" s="801"/>
      <c r="BW21" s="795">
        <f t="shared" si="23"/>
        <v>0</v>
      </c>
      <c r="BX21" s="803">
        <v>42277</v>
      </c>
    </row>
    <row r="22" spans="1:76" ht="24.75" customHeight="1">
      <c r="A22" s="811"/>
      <c r="B22" s="812" t="s">
        <v>1196</v>
      </c>
      <c r="C22" s="813" t="s">
        <v>848</v>
      </c>
      <c r="D22" s="814">
        <f t="shared" si="24"/>
        <v>1205339</v>
      </c>
      <c r="E22" s="815">
        <f t="shared" si="25"/>
        <v>342289</v>
      </c>
      <c r="F22" s="816">
        <f t="shared" si="0"/>
        <v>1547628</v>
      </c>
      <c r="G22" s="817"/>
      <c r="H22" s="815">
        <v>36340</v>
      </c>
      <c r="I22" s="818">
        <f t="shared" si="1"/>
        <v>36340</v>
      </c>
      <c r="J22" s="814">
        <v>35000</v>
      </c>
      <c r="K22" s="815">
        <v>36340</v>
      </c>
      <c r="L22" s="819">
        <f t="shared" si="2"/>
        <v>71340</v>
      </c>
      <c r="M22" s="820">
        <v>40000</v>
      </c>
      <c r="N22" s="821">
        <v>35314</v>
      </c>
      <c r="O22" s="818">
        <f t="shared" si="3"/>
        <v>75314</v>
      </c>
      <c r="P22" s="822">
        <v>55000</v>
      </c>
      <c r="Q22" s="821">
        <v>34140</v>
      </c>
      <c r="R22" s="819">
        <f t="shared" si="4"/>
        <v>89140</v>
      </c>
      <c r="S22" s="820">
        <v>65000</v>
      </c>
      <c r="T22" s="821">
        <v>32527</v>
      </c>
      <c r="U22" s="818">
        <f t="shared" si="5"/>
        <v>97527</v>
      </c>
      <c r="V22" s="822">
        <v>75000</v>
      </c>
      <c r="W22" s="821">
        <v>30620</v>
      </c>
      <c r="X22" s="819">
        <f t="shared" si="6"/>
        <v>105620</v>
      </c>
      <c r="Y22" s="820">
        <v>95000</v>
      </c>
      <c r="Z22" s="821">
        <v>28420</v>
      </c>
      <c r="AA22" s="818">
        <f t="shared" si="7"/>
        <v>123420</v>
      </c>
      <c r="AB22" s="822">
        <v>95000</v>
      </c>
      <c r="AC22" s="821">
        <v>25633</v>
      </c>
      <c r="AD22" s="819">
        <f t="shared" si="8"/>
        <v>120633</v>
      </c>
      <c r="AE22" s="820">
        <v>115000</v>
      </c>
      <c r="AF22" s="821">
        <v>22846</v>
      </c>
      <c r="AG22" s="818">
        <f t="shared" si="9"/>
        <v>137846</v>
      </c>
      <c r="AH22" s="822">
        <v>115000</v>
      </c>
      <c r="AI22" s="821">
        <v>19472</v>
      </c>
      <c r="AJ22" s="819">
        <f t="shared" si="10"/>
        <v>134472</v>
      </c>
      <c r="AK22" s="820">
        <v>125000</v>
      </c>
      <c r="AL22" s="821">
        <v>16098</v>
      </c>
      <c r="AM22" s="818">
        <f t="shared" si="11"/>
        <v>141098</v>
      </c>
      <c r="AN22" s="822">
        <v>130000</v>
      </c>
      <c r="AO22" s="821">
        <v>12313</v>
      </c>
      <c r="AP22" s="819">
        <f t="shared" si="12"/>
        <v>142313</v>
      </c>
      <c r="AQ22" s="820">
        <v>130000</v>
      </c>
      <c r="AR22" s="821">
        <v>8188</v>
      </c>
      <c r="AS22" s="818">
        <f t="shared" si="13"/>
        <v>138188</v>
      </c>
      <c r="AT22" s="822">
        <v>130339</v>
      </c>
      <c r="AU22" s="821">
        <v>4038</v>
      </c>
      <c r="AV22" s="819">
        <f t="shared" si="14"/>
        <v>134377</v>
      </c>
      <c r="AW22" s="823"/>
      <c r="AX22" s="824"/>
      <c r="AY22" s="818">
        <f t="shared" si="15"/>
        <v>0</v>
      </c>
      <c r="AZ22" s="825"/>
      <c r="BA22" s="824"/>
      <c r="BB22" s="819">
        <f t="shared" si="16"/>
        <v>0</v>
      </c>
      <c r="BC22" s="823"/>
      <c r="BD22" s="824"/>
      <c r="BE22" s="818">
        <f t="shared" si="17"/>
        <v>0</v>
      </c>
      <c r="BF22" s="825"/>
      <c r="BG22" s="824"/>
      <c r="BH22" s="819">
        <f t="shared" si="18"/>
        <v>0</v>
      </c>
      <c r="BI22" s="823"/>
      <c r="BJ22" s="824"/>
      <c r="BK22" s="818">
        <f t="shared" si="19"/>
        <v>0</v>
      </c>
      <c r="BL22" s="825"/>
      <c r="BM22" s="824"/>
      <c r="BN22" s="819">
        <f t="shared" si="20"/>
        <v>0</v>
      </c>
      <c r="BO22" s="823"/>
      <c r="BP22" s="824"/>
      <c r="BQ22" s="818">
        <f t="shared" si="21"/>
        <v>0</v>
      </c>
      <c r="BR22" s="825"/>
      <c r="BS22" s="824"/>
      <c r="BT22" s="819">
        <f t="shared" si="22"/>
        <v>0</v>
      </c>
      <c r="BU22" s="823"/>
      <c r="BV22" s="824"/>
      <c r="BW22" s="818">
        <f t="shared" si="23"/>
        <v>0</v>
      </c>
      <c r="BX22" s="826">
        <v>44561</v>
      </c>
    </row>
    <row r="23" spans="1:76" ht="32.25" customHeight="1">
      <c r="A23" s="827" t="s">
        <v>951</v>
      </c>
      <c r="B23" s="828" t="s">
        <v>1197</v>
      </c>
      <c r="C23" s="829" t="s">
        <v>848</v>
      </c>
      <c r="D23" s="830">
        <f t="shared" si="24"/>
        <v>8164750</v>
      </c>
      <c r="E23" s="831">
        <f t="shared" si="25"/>
        <v>4840200.619766999</v>
      </c>
      <c r="F23" s="1258">
        <f t="shared" si="0"/>
        <v>13004950.619766999</v>
      </c>
      <c r="G23" s="1257"/>
      <c r="H23" s="831">
        <f>'[5]kötvény'!F16/1000</f>
        <v>301009.20300000004</v>
      </c>
      <c r="I23" s="832">
        <f t="shared" si="1"/>
        <v>301009.20300000004</v>
      </c>
      <c r="J23" s="830"/>
      <c r="K23" s="831">
        <f>'[5]kötvény'!F20/1000</f>
        <v>301009.20300000004</v>
      </c>
      <c r="L23" s="833">
        <f t="shared" si="2"/>
        <v>301009.20300000004</v>
      </c>
      <c r="M23" s="834"/>
      <c r="N23" s="831">
        <f>'[5]kötvény'!F24/1000</f>
        <v>301009.20300000004</v>
      </c>
      <c r="O23" s="832">
        <f t="shared" si="3"/>
        <v>301009.20300000004</v>
      </c>
      <c r="P23" s="830">
        <f>'[5]kötvény'!G28/1000</f>
        <v>70513.75</v>
      </c>
      <c r="Q23" s="831">
        <f>'[5]kötvény'!F28/1000</f>
        <v>300359.29676625</v>
      </c>
      <c r="R23" s="833">
        <f t="shared" si="4"/>
        <v>370873.04676625</v>
      </c>
      <c r="S23" s="834">
        <f>'[5]kötvény'!G32/1000</f>
        <v>141027.5</v>
      </c>
      <c r="T23" s="831">
        <f>'[5]kötvény'!F32/1000</f>
        <v>297109.7655975</v>
      </c>
      <c r="U23" s="832">
        <f t="shared" si="5"/>
        <v>438137.2655975</v>
      </c>
      <c r="V23" s="830">
        <f>'[5]kötvény'!G36/1000</f>
        <v>164037.25</v>
      </c>
      <c r="W23" s="831">
        <f>'[5]kötvény'!F36/1000</f>
        <v>291698.44106175</v>
      </c>
      <c r="X23" s="833">
        <f t="shared" si="6"/>
        <v>455735.69106175</v>
      </c>
      <c r="Y23" s="834">
        <f>'[5]kötvény'!G40/1000</f>
        <v>164037.25</v>
      </c>
      <c r="Z23" s="831">
        <f>'[5]kötvény'!F40/1000</f>
        <v>285650.89252875</v>
      </c>
      <c r="AA23" s="832">
        <f t="shared" si="7"/>
        <v>449688.14252875</v>
      </c>
      <c r="AB23" s="830">
        <f>'[5]kötvény'!G44/1000</f>
        <v>211541.24999999997</v>
      </c>
      <c r="AC23" s="831">
        <f>'[5]kötvény'!F44/1000</f>
        <v>279165.51242775</v>
      </c>
      <c r="AD23" s="833">
        <f t="shared" si="8"/>
        <v>490706.7624277499</v>
      </c>
      <c r="AE23" s="834">
        <f>'[5]kötvény'!G48/1000</f>
        <v>234550.99999999997</v>
      </c>
      <c r="AF23" s="831">
        <f>'[5]kötvény'!F48/1000</f>
        <v>271154.56295700005</v>
      </c>
      <c r="AG23" s="832">
        <f t="shared" si="9"/>
        <v>505705.562957</v>
      </c>
      <c r="AH23" s="830">
        <f>'[5]kötvény'!G52/1000</f>
        <v>257560.74999999997</v>
      </c>
      <c r="AI23" s="831">
        <f>'[5]kötvény'!F52/1000</f>
        <v>262295.31482325</v>
      </c>
      <c r="AJ23" s="833">
        <f t="shared" si="10"/>
        <v>519856.06482324994</v>
      </c>
      <c r="AK23" s="834">
        <f>'[5]kötvény'!G56/1000</f>
        <v>282055</v>
      </c>
      <c r="AL23" s="831">
        <f>'[5]kötvény'!F56/1000</f>
        <v>252574.08578999998</v>
      </c>
      <c r="AM23" s="832">
        <f t="shared" si="11"/>
        <v>534629.0857899999</v>
      </c>
      <c r="AN23" s="830">
        <f>'[5]kötvény'!G60/1000</f>
        <v>282055</v>
      </c>
      <c r="AO23" s="831">
        <f>'[5]kötvény'!F60/1000</f>
        <v>242175.58604999998</v>
      </c>
      <c r="AP23" s="833">
        <f t="shared" si="12"/>
        <v>524230.58605</v>
      </c>
      <c r="AQ23" s="834">
        <f>'[5]kötvény'!G64/1000</f>
        <v>351826.5</v>
      </c>
      <c r="AR23" s="831">
        <f>'[5]kötvény'!F64/1000</f>
        <v>231134.0211945</v>
      </c>
      <c r="AS23" s="832">
        <f t="shared" si="13"/>
        <v>582960.5211945</v>
      </c>
      <c r="AT23" s="830">
        <f>'[5]kötvény'!G68/1000</f>
        <v>506214.49999999994</v>
      </c>
      <c r="AU23" s="831">
        <f>'[5]kötvény'!F68/1000</f>
        <v>216740.3083965</v>
      </c>
      <c r="AV23" s="833">
        <f t="shared" si="14"/>
        <v>722954.8083965</v>
      </c>
      <c r="AW23" s="834">
        <f>'[5]kötvény'!G72/1000</f>
        <v>515863.74999999994</v>
      </c>
      <c r="AX23" s="831">
        <f>'[5]kötvény'!F72/1000</f>
        <v>197988.80327325</v>
      </c>
      <c r="AY23" s="832">
        <f t="shared" si="15"/>
        <v>713852.5532732499</v>
      </c>
      <c r="AZ23" s="830">
        <f>'[5]kötvény'!G76/1000</f>
        <v>562625.5</v>
      </c>
      <c r="BA23" s="831">
        <f>'[5]kötvény'!F76/1000</f>
        <v>178539.50408850002</v>
      </c>
      <c r="BB23" s="833">
        <f t="shared" si="16"/>
        <v>741165.0040885</v>
      </c>
      <c r="BC23" s="834">
        <f>'[5]kötvény'!G80/1000</f>
        <v>576728.25</v>
      </c>
      <c r="BD23" s="831">
        <f>'[5]kötvény'!F80/1000</f>
        <v>157667.25230775002</v>
      </c>
      <c r="BE23" s="832">
        <f t="shared" si="17"/>
        <v>734395.50230775</v>
      </c>
      <c r="BF23" s="830">
        <f>'[5]kötvény'!G84/1000</f>
        <v>590831</v>
      </c>
      <c r="BG23" s="831">
        <f>'[5]kötvény'!F84/1000</f>
        <v>136275.07554000002</v>
      </c>
      <c r="BH23" s="833">
        <f t="shared" si="18"/>
        <v>727106.07554</v>
      </c>
      <c r="BI23" s="834">
        <f>'[5]kötvény'!G88/1000</f>
        <v>609387.25</v>
      </c>
      <c r="BJ23" s="831">
        <f>'[5]kötvény'!F88/1000</f>
        <v>114321.92707575002</v>
      </c>
      <c r="BK23" s="832">
        <f t="shared" si="19"/>
        <v>723709.17707575</v>
      </c>
      <c r="BL23" s="830">
        <f>'[5]kötvény'!G92/1000</f>
        <v>633139.25</v>
      </c>
      <c r="BM23" s="831">
        <f>'[5]kötvény'!F92/1000</f>
        <v>91636.77895875002</v>
      </c>
      <c r="BN23" s="833">
        <f t="shared" si="20"/>
        <v>724776.02895875</v>
      </c>
      <c r="BO23" s="834">
        <f>'[5]kötvény'!G96/1000</f>
        <v>656891.25</v>
      </c>
      <c r="BP23" s="831">
        <f>'[5]kötvény'!F96/1000</f>
        <v>68075.96770575001</v>
      </c>
      <c r="BQ23" s="832">
        <f t="shared" si="21"/>
        <v>724967.21770575</v>
      </c>
      <c r="BR23" s="830">
        <f>'[5]kötvény'!G100/1000</f>
        <v>670994</v>
      </c>
      <c r="BS23" s="831">
        <f>'[5]kötvény'!F100/1000</f>
        <v>43728.427854</v>
      </c>
      <c r="BT23" s="833">
        <f t="shared" si="22"/>
        <v>714722.427854</v>
      </c>
      <c r="BU23" s="834">
        <f>'[5]kötvény'!G104/1000</f>
        <v>682870</v>
      </c>
      <c r="BV23" s="831">
        <f>'[5]kötvény'!F104/1000</f>
        <v>18881.486370000002</v>
      </c>
      <c r="BW23" s="832">
        <f t="shared" si="23"/>
        <v>701751.48637</v>
      </c>
      <c r="BX23" s="835">
        <v>47756</v>
      </c>
    </row>
    <row r="24" spans="1:76" ht="32.25" customHeight="1">
      <c r="A24" s="1240" t="s">
        <v>198</v>
      </c>
      <c r="B24" s="1241" t="s">
        <v>236</v>
      </c>
      <c r="C24" s="1242" t="s">
        <v>845</v>
      </c>
      <c r="D24" s="1238">
        <v>730552</v>
      </c>
      <c r="E24" s="1238">
        <v>115950</v>
      </c>
      <c r="F24" s="1238">
        <f>SUM(D24:E24)</f>
        <v>846502</v>
      </c>
      <c r="G24" s="1243"/>
      <c r="H24" s="1239">
        <v>115950</v>
      </c>
      <c r="I24" s="1244">
        <f>SUM(G24:H24)</f>
        <v>115950</v>
      </c>
      <c r="J24" s="1238"/>
      <c r="K24" s="1239"/>
      <c r="L24" s="1245"/>
      <c r="M24" s="1246"/>
      <c r="N24" s="1239"/>
      <c r="O24" s="1244"/>
      <c r="P24" s="1238"/>
      <c r="Q24" s="1239"/>
      <c r="R24" s="1245"/>
      <c r="S24" s="1246"/>
      <c r="T24" s="1239"/>
      <c r="U24" s="1244"/>
      <c r="V24" s="1238"/>
      <c r="W24" s="1239"/>
      <c r="X24" s="1245"/>
      <c r="Y24" s="1246"/>
      <c r="Z24" s="1239"/>
      <c r="AA24" s="1244"/>
      <c r="AB24" s="1238"/>
      <c r="AC24" s="1239"/>
      <c r="AD24" s="1245"/>
      <c r="AE24" s="1246"/>
      <c r="AF24" s="1239"/>
      <c r="AG24" s="1244"/>
      <c r="AH24" s="1238"/>
      <c r="AI24" s="1239"/>
      <c r="AJ24" s="1245"/>
      <c r="AK24" s="1246"/>
      <c r="AL24" s="1239"/>
      <c r="AM24" s="1244"/>
      <c r="AN24" s="1238"/>
      <c r="AO24" s="1239"/>
      <c r="AP24" s="1245"/>
      <c r="AQ24" s="1246"/>
      <c r="AR24" s="1239"/>
      <c r="AS24" s="1244"/>
      <c r="AT24" s="1238"/>
      <c r="AU24" s="1239"/>
      <c r="AV24" s="1245"/>
      <c r="AW24" s="1246"/>
      <c r="AX24" s="1239"/>
      <c r="AY24" s="1244"/>
      <c r="AZ24" s="1238"/>
      <c r="BA24" s="1239"/>
      <c r="BB24" s="1245"/>
      <c r="BC24" s="1246"/>
      <c r="BD24" s="1239"/>
      <c r="BE24" s="1244"/>
      <c r="BF24" s="1238"/>
      <c r="BG24" s="1239"/>
      <c r="BH24" s="1245"/>
      <c r="BI24" s="1246"/>
      <c r="BJ24" s="1239"/>
      <c r="BK24" s="1244"/>
      <c r="BL24" s="1238"/>
      <c r="BM24" s="1239"/>
      <c r="BN24" s="1245"/>
      <c r="BO24" s="1246"/>
      <c r="BP24" s="1239"/>
      <c r="BQ24" s="1244"/>
      <c r="BR24" s="1238"/>
      <c r="BS24" s="1239"/>
      <c r="BT24" s="1245"/>
      <c r="BU24" s="1246"/>
      <c r="BV24" s="1239"/>
      <c r="BW24" s="1244"/>
      <c r="BX24" s="839"/>
    </row>
    <row r="25" spans="1:76" s="840" customFormat="1" ht="21.75" customHeight="1">
      <c r="A25" s="836" t="s">
        <v>259</v>
      </c>
      <c r="B25" s="768" t="s">
        <v>653</v>
      </c>
      <c r="C25" s="837"/>
      <c r="D25" s="769">
        <f>SUM(D26:D28)</f>
        <v>30120</v>
      </c>
      <c r="E25" s="770">
        <f>SUM(E26:E28)</f>
        <v>1443</v>
      </c>
      <c r="F25" s="838">
        <f t="shared" si="0"/>
        <v>31563</v>
      </c>
      <c r="G25" s="767">
        <f aca="true" t="shared" si="26" ref="G25:AM25">SUM(G26:G28)</f>
        <v>18195</v>
      </c>
      <c r="H25" s="770">
        <f t="shared" si="26"/>
        <v>1077</v>
      </c>
      <c r="I25" s="772">
        <f t="shared" si="26"/>
        <v>19272</v>
      </c>
      <c r="J25" s="769">
        <f t="shared" si="26"/>
        <v>11925</v>
      </c>
      <c r="K25" s="770">
        <f t="shared" si="26"/>
        <v>366</v>
      </c>
      <c r="L25" s="771">
        <f t="shared" si="26"/>
        <v>12291</v>
      </c>
      <c r="M25" s="767">
        <f t="shared" si="26"/>
        <v>0</v>
      </c>
      <c r="N25" s="770">
        <f t="shared" si="26"/>
        <v>0</v>
      </c>
      <c r="O25" s="772">
        <f t="shared" si="26"/>
        <v>0</v>
      </c>
      <c r="P25" s="769">
        <f t="shared" si="26"/>
        <v>0</v>
      </c>
      <c r="Q25" s="770">
        <f t="shared" si="26"/>
        <v>0</v>
      </c>
      <c r="R25" s="771">
        <f t="shared" si="26"/>
        <v>0</v>
      </c>
      <c r="S25" s="767">
        <f t="shared" si="26"/>
        <v>0</v>
      </c>
      <c r="T25" s="770">
        <f t="shared" si="26"/>
        <v>0</v>
      </c>
      <c r="U25" s="772">
        <f t="shared" si="26"/>
        <v>0</v>
      </c>
      <c r="V25" s="769">
        <f t="shared" si="26"/>
        <v>0</v>
      </c>
      <c r="W25" s="770">
        <f t="shared" si="26"/>
        <v>0</v>
      </c>
      <c r="X25" s="771">
        <f t="shared" si="26"/>
        <v>0</v>
      </c>
      <c r="Y25" s="767">
        <f t="shared" si="26"/>
        <v>0</v>
      </c>
      <c r="Z25" s="770">
        <f t="shared" si="26"/>
        <v>0</v>
      </c>
      <c r="AA25" s="772">
        <f t="shared" si="26"/>
        <v>0</v>
      </c>
      <c r="AB25" s="769">
        <f t="shared" si="26"/>
        <v>0</v>
      </c>
      <c r="AC25" s="770">
        <f t="shared" si="26"/>
        <v>0</v>
      </c>
      <c r="AD25" s="771">
        <f t="shared" si="26"/>
        <v>0</v>
      </c>
      <c r="AE25" s="767">
        <f t="shared" si="26"/>
        <v>0</v>
      </c>
      <c r="AF25" s="770">
        <f t="shared" si="26"/>
        <v>0</v>
      </c>
      <c r="AG25" s="772">
        <f t="shared" si="26"/>
        <v>0</v>
      </c>
      <c r="AH25" s="769">
        <f t="shared" si="26"/>
        <v>0</v>
      </c>
      <c r="AI25" s="770">
        <f t="shared" si="26"/>
        <v>0</v>
      </c>
      <c r="AJ25" s="771">
        <f t="shared" si="26"/>
        <v>0</v>
      </c>
      <c r="AK25" s="767">
        <f t="shared" si="26"/>
        <v>0</v>
      </c>
      <c r="AL25" s="770">
        <f t="shared" si="26"/>
        <v>0</v>
      </c>
      <c r="AM25" s="772">
        <f t="shared" si="26"/>
        <v>0</v>
      </c>
      <c r="AN25" s="769"/>
      <c r="AO25" s="770"/>
      <c r="AP25" s="771"/>
      <c r="AQ25" s="767"/>
      <c r="AR25" s="770"/>
      <c r="AS25" s="772"/>
      <c r="AT25" s="769"/>
      <c r="AU25" s="770"/>
      <c r="AV25" s="771"/>
      <c r="AW25" s="767"/>
      <c r="AX25" s="770"/>
      <c r="AY25" s="772"/>
      <c r="AZ25" s="769"/>
      <c r="BA25" s="770"/>
      <c r="BB25" s="771"/>
      <c r="BC25" s="767"/>
      <c r="BD25" s="770"/>
      <c r="BE25" s="772"/>
      <c r="BF25" s="769"/>
      <c r="BG25" s="770"/>
      <c r="BH25" s="771"/>
      <c r="BI25" s="767"/>
      <c r="BJ25" s="770"/>
      <c r="BK25" s="772"/>
      <c r="BL25" s="769"/>
      <c r="BM25" s="770"/>
      <c r="BN25" s="771"/>
      <c r="BO25" s="767"/>
      <c r="BP25" s="770"/>
      <c r="BQ25" s="772"/>
      <c r="BR25" s="769"/>
      <c r="BS25" s="770"/>
      <c r="BT25" s="771"/>
      <c r="BU25" s="767"/>
      <c r="BV25" s="770"/>
      <c r="BW25" s="772"/>
      <c r="BX25" s="839"/>
    </row>
    <row r="26" spans="1:76" s="840" customFormat="1" ht="24.75" customHeight="1">
      <c r="A26" s="841"/>
      <c r="B26" s="775" t="s">
        <v>654</v>
      </c>
      <c r="C26" s="842" t="s">
        <v>845</v>
      </c>
      <c r="D26" s="777">
        <f aca="true" t="shared" si="27" ref="D26:E28">SUM(G26,J26,M26,P26,S26,V26,Y26,AB26,AE26,AH26,AK26,AN26,AQ26,AT26,AW26,AZ26,BC26,BF26,BI26,BL26,BO26,BR26,BU26)</f>
        <v>6424</v>
      </c>
      <c r="E26" s="778">
        <f t="shared" si="27"/>
        <v>349</v>
      </c>
      <c r="F26" s="779">
        <f t="shared" si="0"/>
        <v>6773</v>
      </c>
      <c r="G26" s="841">
        <v>6424</v>
      </c>
      <c r="H26" s="775">
        <v>349</v>
      </c>
      <c r="I26" s="843">
        <f>SUM(G26:H26)</f>
        <v>6773</v>
      </c>
      <c r="J26" s="844"/>
      <c r="K26" s="775"/>
      <c r="L26" s="779">
        <f>SUM(J26:K26)</f>
        <v>0</v>
      </c>
      <c r="M26" s="845"/>
      <c r="N26" s="846"/>
      <c r="O26" s="843">
        <f>SUM(M26:N26)</f>
        <v>0</v>
      </c>
      <c r="P26" s="847"/>
      <c r="Q26" s="846"/>
      <c r="R26" s="779">
        <f>SUM(P26:Q26)</f>
        <v>0</v>
      </c>
      <c r="S26" s="845"/>
      <c r="T26" s="846"/>
      <c r="U26" s="843">
        <f>SUM(S26:T26)</f>
        <v>0</v>
      </c>
      <c r="V26" s="847"/>
      <c r="W26" s="846"/>
      <c r="X26" s="779">
        <f>SUM(V26:W26)</f>
        <v>0</v>
      </c>
      <c r="Y26" s="845"/>
      <c r="Z26" s="846"/>
      <c r="AA26" s="843">
        <f>SUM(Y26:Z26)</f>
        <v>0</v>
      </c>
      <c r="AB26" s="847"/>
      <c r="AC26" s="846"/>
      <c r="AD26" s="779">
        <f>SUM(AB26:AC26)</f>
        <v>0</v>
      </c>
      <c r="AE26" s="845"/>
      <c r="AF26" s="846"/>
      <c r="AG26" s="843">
        <f>SUM(AE26:AF26)</f>
        <v>0</v>
      </c>
      <c r="AH26" s="847"/>
      <c r="AI26" s="846"/>
      <c r="AJ26" s="779">
        <f>SUM(AH26:AI26)</f>
        <v>0</v>
      </c>
      <c r="AK26" s="845"/>
      <c r="AL26" s="846"/>
      <c r="AM26" s="843">
        <f>SUM(AK26:AL26)</f>
        <v>0</v>
      </c>
      <c r="AN26" s="848"/>
      <c r="AO26" s="849"/>
      <c r="AP26" s="779"/>
      <c r="AQ26" s="850"/>
      <c r="AR26" s="849"/>
      <c r="AS26" s="843"/>
      <c r="AT26" s="848"/>
      <c r="AU26" s="849"/>
      <c r="AV26" s="779"/>
      <c r="AW26" s="850"/>
      <c r="AX26" s="849"/>
      <c r="AY26" s="843"/>
      <c r="AZ26" s="848"/>
      <c r="BA26" s="849"/>
      <c r="BB26" s="779"/>
      <c r="BC26" s="850"/>
      <c r="BD26" s="849"/>
      <c r="BE26" s="843"/>
      <c r="BF26" s="848"/>
      <c r="BG26" s="849"/>
      <c r="BH26" s="779"/>
      <c r="BI26" s="850"/>
      <c r="BJ26" s="849"/>
      <c r="BK26" s="843"/>
      <c r="BL26" s="848"/>
      <c r="BM26" s="849"/>
      <c r="BN26" s="779"/>
      <c r="BO26" s="850"/>
      <c r="BP26" s="849"/>
      <c r="BQ26" s="843"/>
      <c r="BR26" s="848"/>
      <c r="BS26" s="849"/>
      <c r="BT26" s="779"/>
      <c r="BU26" s="850"/>
      <c r="BV26" s="849"/>
      <c r="BW26" s="843"/>
      <c r="BX26" s="851">
        <v>39802</v>
      </c>
    </row>
    <row r="27" spans="1:76" s="840" customFormat="1" ht="24.75" customHeight="1">
      <c r="A27" s="808"/>
      <c r="B27" s="804" t="s">
        <v>655</v>
      </c>
      <c r="C27" s="791" t="s">
        <v>845</v>
      </c>
      <c r="D27" s="792">
        <f t="shared" si="27"/>
        <v>5796</v>
      </c>
      <c r="E27" s="793">
        <f t="shared" si="27"/>
        <v>269</v>
      </c>
      <c r="F27" s="794">
        <f t="shared" si="0"/>
        <v>6065</v>
      </c>
      <c r="G27" s="808">
        <v>2821</v>
      </c>
      <c r="H27" s="804">
        <v>178</v>
      </c>
      <c r="I27" s="852">
        <f>SUM(G27:H27)</f>
        <v>2999</v>
      </c>
      <c r="J27" s="809">
        <v>2975</v>
      </c>
      <c r="K27" s="804">
        <v>91</v>
      </c>
      <c r="L27" s="794">
        <f>SUM(J27:K27)</f>
        <v>3066</v>
      </c>
      <c r="M27" s="853"/>
      <c r="N27" s="854"/>
      <c r="O27" s="852">
        <f>SUM(M27:N27)</f>
        <v>0</v>
      </c>
      <c r="P27" s="855"/>
      <c r="Q27" s="854"/>
      <c r="R27" s="794">
        <f>SUM(P27:Q27)</f>
        <v>0</v>
      </c>
      <c r="S27" s="853"/>
      <c r="T27" s="854"/>
      <c r="U27" s="852">
        <f>SUM(S27:T27)</f>
        <v>0</v>
      </c>
      <c r="V27" s="855"/>
      <c r="W27" s="854"/>
      <c r="X27" s="794">
        <f>SUM(V27:W27)</f>
        <v>0</v>
      </c>
      <c r="Y27" s="853"/>
      <c r="Z27" s="854"/>
      <c r="AA27" s="852">
        <f>SUM(Y27:Z27)</f>
        <v>0</v>
      </c>
      <c r="AB27" s="855"/>
      <c r="AC27" s="854"/>
      <c r="AD27" s="794">
        <f>SUM(AB27:AC27)</f>
        <v>0</v>
      </c>
      <c r="AE27" s="853"/>
      <c r="AF27" s="854"/>
      <c r="AG27" s="852">
        <f>SUM(AE27:AF27)</f>
        <v>0</v>
      </c>
      <c r="AH27" s="855"/>
      <c r="AI27" s="854"/>
      <c r="AJ27" s="794">
        <f>SUM(AH27:AI27)</f>
        <v>0</v>
      </c>
      <c r="AK27" s="853"/>
      <c r="AL27" s="854"/>
      <c r="AM27" s="852">
        <f>SUM(AK27:AL27)</f>
        <v>0</v>
      </c>
      <c r="AN27" s="856"/>
      <c r="AO27" s="857"/>
      <c r="AP27" s="794"/>
      <c r="AQ27" s="858"/>
      <c r="AR27" s="857"/>
      <c r="AS27" s="852"/>
      <c r="AT27" s="856"/>
      <c r="AU27" s="857"/>
      <c r="AV27" s="794"/>
      <c r="AW27" s="858"/>
      <c r="AX27" s="857"/>
      <c r="AY27" s="852"/>
      <c r="AZ27" s="856"/>
      <c r="BA27" s="857"/>
      <c r="BB27" s="794"/>
      <c r="BC27" s="858"/>
      <c r="BD27" s="857"/>
      <c r="BE27" s="852"/>
      <c r="BF27" s="856"/>
      <c r="BG27" s="857"/>
      <c r="BH27" s="794"/>
      <c r="BI27" s="858"/>
      <c r="BJ27" s="857"/>
      <c r="BK27" s="852"/>
      <c r="BL27" s="856"/>
      <c r="BM27" s="857"/>
      <c r="BN27" s="794"/>
      <c r="BO27" s="858"/>
      <c r="BP27" s="857"/>
      <c r="BQ27" s="852"/>
      <c r="BR27" s="856"/>
      <c r="BS27" s="857"/>
      <c r="BT27" s="794"/>
      <c r="BU27" s="858"/>
      <c r="BV27" s="857"/>
      <c r="BW27" s="852"/>
      <c r="BX27" s="859">
        <v>40167</v>
      </c>
    </row>
    <row r="28" spans="1:76" s="840" customFormat="1" ht="24.75" customHeight="1">
      <c r="A28" s="817"/>
      <c r="B28" s="812" t="s">
        <v>1198</v>
      </c>
      <c r="C28" s="860" t="s">
        <v>845</v>
      </c>
      <c r="D28" s="814">
        <f t="shared" si="27"/>
        <v>17900</v>
      </c>
      <c r="E28" s="815">
        <f t="shared" si="27"/>
        <v>825</v>
      </c>
      <c r="F28" s="816">
        <f t="shared" si="0"/>
        <v>18725</v>
      </c>
      <c r="G28" s="817">
        <v>8950</v>
      </c>
      <c r="H28" s="812">
        <v>550</v>
      </c>
      <c r="I28" s="861">
        <f>SUM(G28:H28)</f>
        <v>9500</v>
      </c>
      <c r="J28" s="862">
        <v>8950</v>
      </c>
      <c r="K28" s="812">
        <v>275</v>
      </c>
      <c r="L28" s="816">
        <f>SUM(J28:K28)</f>
        <v>9225</v>
      </c>
      <c r="M28" s="863"/>
      <c r="N28" s="864"/>
      <c r="O28" s="861">
        <f>SUM(M28:N28)</f>
        <v>0</v>
      </c>
      <c r="P28" s="865"/>
      <c r="Q28" s="864"/>
      <c r="R28" s="816">
        <f>SUM(P28:Q28)</f>
        <v>0</v>
      </c>
      <c r="S28" s="863"/>
      <c r="T28" s="864"/>
      <c r="U28" s="861">
        <f>SUM(S28:T28)</f>
        <v>0</v>
      </c>
      <c r="V28" s="865"/>
      <c r="W28" s="864"/>
      <c r="X28" s="816">
        <f>SUM(V28:W28)</f>
        <v>0</v>
      </c>
      <c r="Y28" s="863"/>
      <c r="Z28" s="864"/>
      <c r="AA28" s="861">
        <f>SUM(Y28:Z28)</f>
        <v>0</v>
      </c>
      <c r="AB28" s="865"/>
      <c r="AC28" s="864"/>
      <c r="AD28" s="816">
        <f>SUM(AB28:AC28)</f>
        <v>0</v>
      </c>
      <c r="AE28" s="863"/>
      <c r="AF28" s="864"/>
      <c r="AG28" s="861">
        <f>SUM(AE28:AF28)</f>
        <v>0</v>
      </c>
      <c r="AH28" s="865"/>
      <c r="AI28" s="864"/>
      <c r="AJ28" s="816">
        <f>SUM(AH28:AI28)</f>
        <v>0</v>
      </c>
      <c r="AK28" s="863"/>
      <c r="AL28" s="864"/>
      <c r="AM28" s="861">
        <f>SUM(AK28:AL28)</f>
        <v>0</v>
      </c>
      <c r="AN28" s="866"/>
      <c r="AO28" s="867"/>
      <c r="AP28" s="816"/>
      <c r="AQ28" s="868"/>
      <c r="AR28" s="867"/>
      <c r="AS28" s="861"/>
      <c r="AT28" s="866"/>
      <c r="AU28" s="867"/>
      <c r="AV28" s="816"/>
      <c r="AW28" s="868"/>
      <c r="AX28" s="867"/>
      <c r="AY28" s="861"/>
      <c r="AZ28" s="866"/>
      <c r="BA28" s="867"/>
      <c r="BB28" s="816"/>
      <c r="BC28" s="868"/>
      <c r="BD28" s="867"/>
      <c r="BE28" s="861"/>
      <c r="BF28" s="866"/>
      <c r="BG28" s="867"/>
      <c r="BH28" s="816"/>
      <c r="BI28" s="868"/>
      <c r="BJ28" s="867"/>
      <c r="BK28" s="861"/>
      <c r="BL28" s="866"/>
      <c r="BM28" s="867"/>
      <c r="BN28" s="816"/>
      <c r="BO28" s="868"/>
      <c r="BP28" s="867"/>
      <c r="BQ28" s="861"/>
      <c r="BR28" s="866"/>
      <c r="BS28" s="867"/>
      <c r="BT28" s="816"/>
      <c r="BU28" s="868"/>
      <c r="BV28" s="867"/>
      <c r="BW28" s="861"/>
      <c r="BX28" s="869">
        <v>40167</v>
      </c>
    </row>
    <row r="29" spans="1:76" s="760" customFormat="1" ht="34.5" customHeight="1">
      <c r="A29" s="1893" t="s">
        <v>1199</v>
      </c>
      <c r="B29" s="1894"/>
      <c r="C29" s="772"/>
      <c r="D29" s="769">
        <f aca="true" t="shared" si="28" ref="D29:AI29">SUM(D8,D23:D25)</f>
        <v>12517253</v>
      </c>
      <c r="E29" s="770">
        <f t="shared" si="28"/>
        <v>5845639.619766999</v>
      </c>
      <c r="F29" s="838">
        <f t="shared" si="28"/>
        <v>18362892.619767</v>
      </c>
      <c r="G29" s="767">
        <f t="shared" si="28"/>
        <v>285791</v>
      </c>
      <c r="H29" s="770">
        <f t="shared" si="28"/>
        <v>551753.203</v>
      </c>
      <c r="I29" s="870">
        <f t="shared" si="28"/>
        <v>837544.203</v>
      </c>
      <c r="J29" s="1264">
        <f t="shared" si="28"/>
        <v>332310</v>
      </c>
      <c r="K29" s="770">
        <f t="shared" si="28"/>
        <v>421619.20300000004</v>
      </c>
      <c r="L29" s="838">
        <f t="shared" si="28"/>
        <v>753929.203</v>
      </c>
      <c r="M29" s="767">
        <f t="shared" si="28"/>
        <v>322960</v>
      </c>
      <c r="N29" s="770">
        <f t="shared" si="28"/>
        <v>409072.20300000004</v>
      </c>
      <c r="O29" s="870">
        <f t="shared" si="28"/>
        <v>732032.203</v>
      </c>
      <c r="P29" s="769">
        <f t="shared" si="28"/>
        <v>400557.75</v>
      </c>
      <c r="Q29" s="770">
        <f t="shared" si="28"/>
        <v>396666.29676625</v>
      </c>
      <c r="R29" s="838">
        <f t="shared" si="28"/>
        <v>797224.0467662499</v>
      </c>
      <c r="S29" s="767">
        <f t="shared" si="28"/>
        <v>426401.5</v>
      </c>
      <c r="T29" s="770">
        <f t="shared" si="28"/>
        <v>381746.7655975</v>
      </c>
      <c r="U29" s="870">
        <f t="shared" si="28"/>
        <v>808148.2655975</v>
      </c>
      <c r="V29" s="769">
        <f t="shared" si="28"/>
        <v>425211.25</v>
      </c>
      <c r="W29" s="770">
        <f t="shared" si="28"/>
        <v>365867.44106175</v>
      </c>
      <c r="X29" s="838">
        <f t="shared" si="28"/>
        <v>791078.69106175</v>
      </c>
      <c r="Y29" s="767">
        <f t="shared" si="28"/>
        <v>461363.25</v>
      </c>
      <c r="Z29" s="770">
        <f t="shared" si="28"/>
        <v>350064.89252875</v>
      </c>
      <c r="AA29" s="870">
        <f t="shared" si="28"/>
        <v>811428.14252875</v>
      </c>
      <c r="AB29" s="769">
        <f t="shared" si="28"/>
        <v>453291.25</v>
      </c>
      <c r="AC29" s="770">
        <f t="shared" si="28"/>
        <v>332971.51242775</v>
      </c>
      <c r="AD29" s="838">
        <f t="shared" si="28"/>
        <v>786262.7624277499</v>
      </c>
      <c r="AE29" s="767">
        <f t="shared" si="28"/>
        <v>485278</v>
      </c>
      <c r="AF29" s="770">
        <f t="shared" si="28"/>
        <v>316228.56295700005</v>
      </c>
      <c r="AG29" s="870">
        <f t="shared" si="28"/>
        <v>801506.562957</v>
      </c>
      <c r="AH29" s="769">
        <f t="shared" si="28"/>
        <v>459447.75</v>
      </c>
      <c r="AI29" s="770">
        <f t="shared" si="28"/>
        <v>298555.31482325</v>
      </c>
      <c r="AJ29" s="838">
        <f aca="true" t="shared" si="29" ref="AJ29:BO29">SUM(AJ8,AJ23:AJ25)</f>
        <v>758003.0648232499</v>
      </c>
      <c r="AK29" s="767">
        <f t="shared" si="29"/>
        <v>493942</v>
      </c>
      <c r="AL29" s="770">
        <f t="shared" si="29"/>
        <v>281658.08579</v>
      </c>
      <c r="AM29" s="870">
        <f t="shared" si="29"/>
        <v>775600.0857899999</v>
      </c>
      <c r="AN29" s="769">
        <f t="shared" si="29"/>
        <v>524595</v>
      </c>
      <c r="AO29" s="770">
        <f t="shared" si="29"/>
        <v>263671.58605</v>
      </c>
      <c r="AP29" s="838">
        <f t="shared" si="29"/>
        <v>788266.58605</v>
      </c>
      <c r="AQ29" s="767">
        <f t="shared" si="29"/>
        <v>517405.5</v>
      </c>
      <c r="AR29" s="770">
        <f t="shared" si="29"/>
        <v>244299.0211945</v>
      </c>
      <c r="AS29" s="870">
        <f t="shared" si="29"/>
        <v>761704.5211945</v>
      </c>
      <c r="AT29" s="769">
        <f t="shared" si="29"/>
        <v>672132.5</v>
      </c>
      <c r="AU29" s="770">
        <f t="shared" si="29"/>
        <v>223622.3083965</v>
      </c>
      <c r="AV29" s="838">
        <f t="shared" si="29"/>
        <v>895754.8083965</v>
      </c>
      <c r="AW29" s="767">
        <f t="shared" si="29"/>
        <v>542547.75</v>
      </c>
      <c r="AX29" s="770">
        <f t="shared" si="29"/>
        <v>198716.80327325</v>
      </c>
      <c r="AY29" s="870">
        <f t="shared" si="29"/>
        <v>741264.5532732499</v>
      </c>
      <c r="AZ29" s="769">
        <f t="shared" si="29"/>
        <v>562625.5</v>
      </c>
      <c r="BA29" s="770">
        <f t="shared" si="29"/>
        <v>178539.50408850002</v>
      </c>
      <c r="BB29" s="838">
        <f t="shared" si="29"/>
        <v>741165.0040885</v>
      </c>
      <c r="BC29" s="767">
        <f t="shared" si="29"/>
        <v>576728.25</v>
      </c>
      <c r="BD29" s="770">
        <f t="shared" si="29"/>
        <v>157667.25230775002</v>
      </c>
      <c r="BE29" s="870">
        <f t="shared" si="29"/>
        <v>734395.50230775</v>
      </c>
      <c r="BF29" s="769">
        <f t="shared" si="29"/>
        <v>590831</v>
      </c>
      <c r="BG29" s="770">
        <f t="shared" si="29"/>
        <v>136275.07554000002</v>
      </c>
      <c r="BH29" s="838">
        <f t="shared" si="29"/>
        <v>727106.07554</v>
      </c>
      <c r="BI29" s="767">
        <f t="shared" si="29"/>
        <v>609387.25</v>
      </c>
      <c r="BJ29" s="770">
        <f t="shared" si="29"/>
        <v>114321.92707575002</v>
      </c>
      <c r="BK29" s="870">
        <f t="shared" si="29"/>
        <v>723709.17707575</v>
      </c>
      <c r="BL29" s="769">
        <f t="shared" si="29"/>
        <v>633139.25</v>
      </c>
      <c r="BM29" s="770">
        <f t="shared" si="29"/>
        <v>91636.77895875002</v>
      </c>
      <c r="BN29" s="838">
        <f t="shared" si="29"/>
        <v>724776.02895875</v>
      </c>
      <c r="BO29" s="767">
        <f t="shared" si="29"/>
        <v>656891.25</v>
      </c>
      <c r="BP29" s="770">
        <f aca="true" t="shared" si="30" ref="BP29:BW29">SUM(BP8,BP23:BP25)</f>
        <v>68075.96770575001</v>
      </c>
      <c r="BQ29" s="870">
        <f t="shared" si="30"/>
        <v>724967.21770575</v>
      </c>
      <c r="BR29" s="769">
        <f t="shared" si="30"/>
        <v>670994</v>
      </c>
      <c r="BS29" s="770">
        <f t="shared" si="30"/>
        <v>43728.427854</v>
      </c>
      <c r="BT29" s="838">
        <f t="shared" si="30"/>
        <v>714722.427854</v>
      </c>
      <c r="BU29" s="767">
        <f t="shared" si="30"/>
        <v>682870</v>
      </c>
      <c r="BV29" s="770">
        <f t="shared" si="30"/>
        <v>18881.486370000002</v>
      </c>
      <c r="BW29" s="870">
        <f t="shared" si="30"/>
        <v>701751.48637</v>
      </c>
      <c r="BX29" s="839"/>
    </row>
    <row r="30" spans="1:76" s="760" customFormat="1" ht="24.75" customHeight="1">
      <c r="A30" s="767" t="s">
        <v>262</v>
      </c>
      <c r="B30" s="1885" t="s">
        <v>656</v>
      </c>
      <c r="C30" s="1886"/>
      <c r="D30" s="769">
        <f>SUM(D31:D33)</f>
        <v>1436258</v>
      </c>
      <c r="E30" s="770">
        <f>SUM(E31:E33)</f>
        <v>382099</v>
      </c>
      <c r="F30" s="838">
        <f>SUM(D30:E30)</f>
        <v>1818357</v>
      </c>
      <c r="G30" s="767">
        <f aca="true" t="shared" si="31" ref="G30:AM30">SUM(G31:G33)</f>
        <v>217420</v>
      </c>
      <c r="H30" s="770">
        <f t="shared" si="31"/>
        <v>70363</v>
      </c>
      <c r="I30" s="772">
        <f t="shared" si="31"/>
        <v>287783</v>
      </c>
      <c r="J30" s="769">
        <f t="shared" si="31"/>
        <v>219512</v>
      </c>
      <c r="K30" s="770">
        <f t="shared" si="31"/>
        <v>54975</v>
      </c>
      <c r="L30" s="771">
        <f t="shared" si="31"/>
        <v>274487</v>
      </c>
      <c r="M30" s="767">
        <f t="shared" si="31"/>
        <v>139278</v>
      </c>
      <c r="N30" s="770">
        <f t="shared" si="31"/>
        <v>39614</v>
      </c>
      <c r="O30" s="772">
        <f t="shared" si="31"/>
        <v>178892</v>
      </c>
      <c r="P30" s="769">
        <f t="shared" si="31"/>
        <v>53928</v>
      </c>
      <c r="Q30" s="770">
        <f t="shared" si="31"/>
        <v>34017</v>
      </c>
      <c r="R30" s="771">
        <f t="shared" si="31"/>
        <v>87945</v>
      </c>
      <c r="S30" s="767">
        <f t="shared" si="31"/>
        <v>56075</v>
      </c>
      <c r="T30" s="770">
        <f t="shared" si="31"/>
        <v>31869</v>
      </c>
      <c r="U30" s="772">
        <f t="shared" si="31"/>
        <v>87944</v>
      </c>
      <c r="V30" s="769">
        <f t="shared" si="31"/>
        <v>58496</v>
      </c>
      <c r="W30" s="770">
        <f t="shared" si="31"/>
        <v>29451</v>
      </c>
      <c r="X30" s="771">
        <f t="shared" si="31"/>
        <v>87947</v>
      </c>
      <c r="Y30" s="767">
        <f t="shared" si="31"/>
        <v>60925</v>
      </c>
      <c r="Z30" s="770">
        <f t="shared" si="31"/>
        <v>27011</v>
      </c>
      <c r="AA30" s="772">
        <f t="shared" si="31"/>
        <v>87936</v>
      </c>
      <c r="AB30" s="769">
        <f t="shared" si="31"/>
        <v>63455</v>
      </c>
      <c r="AC30" s="770">
        <f t="shared" si="31"/>
        <v>24743</v>
      </c>
      <c r="AD30" s="771">
        <f t="shared" si="31"/>
        <v>88198</v>
      </c>
      <c r="AE30" s="767">
        <f t="shared" si="31"/>
        <v>66026</v>
      </c>
      <c r="AF30" s="770">
        <f t="shared" si="31"/>
        <v>21919</v>
      </c>
      <c r="AG30" s="772">
        <f t="shared" si="31"/>
        <v>87945</v>
      </c>
      <c r="AH30" s="769">
        <f t="shared" si="31"/>
        <v>68832</v>
      </c>
      <c r="AI30" s="770">
        <f t="shared" si="31"/>
        <v>18606</v>
      </c>
      <c r="AJ30" s="771">
        <f t="shared" si="31"/>
        <v>87438</v>
      </c>
      <c r="AK30" s="767">
        <f t="shared" si="31"/>
        <v>71691</v>
      </c>
      <c r="AL30" s="770">
        <f t="shared" si="31"/>
        <v>16255</v>
      </c>
      <c r="AM30" s="772">
        <f t="shared" si="31"/>
        <v>87946</v>
      </c>
      <c r="AN30" s="769"/>
      <c r="AO30" s="770"/>
      <c r="AP30" s="771"/>
      <c r="AQ30" s="767"/>
      <c r="AR30" s="770"/>
      <c r="AS30" s="772"/>
      <c r="AT30" s="769"/>
      <c r="AU30" s="770"/>
      <c r="AV30" s="771"/>
      <c r="AW30" s="767"/>
      <c r="AX30" s="770"/>
      <c r="AY30" s="772"/>
      <c r="AZ30" s="769"/>
      <c r="BA30" s="770"/>
      <c r="BB30" s="771"/>
      <c r="BC30" s="767"/>
      <c r="BD30" s="770"/>
      <c r="BE30" s="772"/>
      <c r="BF30" s="769"/>
      <c r="BG30" s="770"/>
      <c r="BH30" s="771"/>
      <c r="BI30" s="767"/>
      <c r="BJ30" s="770"/>
      <c r="BK30" s="772"/>
      <c r="BL30" s="769"/>
      <c r="BM30" s="770"/>
      <c r="BN30" s="771"/>
      <c r="BO30" s="767"/>
      <c r="BP30" s="770"/>
      <c r="BQ30" s="772"/>
      <c r="BR30" s="769"/>
      <c r="BS30" s="770"/>
      <c r="BT30" s="771"/>
      <c r="BU30" s="767"/>
      <c r="BV30" s="770"/>
      <c r="BW30" s="772"/>
      <c r="BX30" s="871"/>
    </row>
    <row r="31" spans="1:76" s="840" customFormat="1" ht="24.75" customHeight="1">
      <c r="A31" s="841"/>
      <c r="B31" s="775" t="s">
        <v>1051</v>
      </c>
      <c r="C31" s="872" t="s">
        <v>845</v>
      </c>
      <c r="D31" s="777">
        <f>SUM(G31,J31,M31,P31,S31,V31,Y31,AB31,AE31,AH31,AK31,AN31,AQ31,AT31,AW31,AZ31,BC31,BF31,BI31,BL31,BO31,BR31,BU31)</f>
        <v>411500</v>
      </c>
      <c r="E31" s="778">
        <f>SUM(H31,K31,N31,Q31,T31,W31,Z31,AC31,AF31,AI31,AL31,AO31,AR31,AU31,AX31,BA31,BD31,BG31,BJ31,BM31,BP31,BS31,BV31)</f>
        <v>48021</v>
      </c>
      <c r="F31" s="779">
        <f>SUM(D31:E31)</f>
        <v>459521</v>
      </c>
      <c r="G31" s="873">
        <v>164600</v>
      </c>
      <c r="H31" s="846">
        <v>28813</v>
      </c>
      <c r="I31" s="874">
        <f>SUM(G31:H31)</f>
        <v>193413</v>
      </c>
      <c r="J31" s="875">
        <v>164600</v>
      </c>
      <c r="K31" s="846">
        <v>16007</v>
      </c>
      <c r="L31" s="876">
        <f>SUM(J31:K31)</f>
        <v>180607</v>
      </c>
      <c r="M31" s="877">
        <v>82300</v>
      </c>
      <c r="N31" s="878">
        <v>3201</v>
      </c>
      <c r="O31" s="874">
        <f>SUM(M31:N31)</f>
        <v>85501</v>
      </c>
      <c r="P31" s="879"/>
      <c r="Q31" s="880"/>
      <c r="R31" s="881"/>
      <c r="S31" s="882"/>
      <c r="T31" s="880"/>
      <c r="U31" s="872"/>
      <c r="V31" s="879"/>
      <c r="W31" s="880"/>
      <c r="X31" s="881"/>
      <c r="Y31" s="882"/>
      <c r="Z31" s="880"/>
      <c r="AA31" s="872"/>
      <c r="AB31" s="879"/>
      <c r="AC31" s="880"/>
      <c r="AD31" s="881"/>
      <c r="AE31" s="882"/>
      <c r="AF31" s="880"/>
      <c r="AG31" s="872"/>
      <c r="AH31" s="879"/>
      <c r="AI31" s="880"/>
      <c r="AJ31" s="881"/>
      <c r="AK31" s="882"/>
      <c r="AL31" s="880"/>
      <c r="AM31" s="872"/>
      <c r="AN31" s="847"/>
      <c r="AO31" s="883"/>
      <c r="AP31" s="881"/>
      <c r="AQ31" s="845"/>
      <c r="AR31" s="883"/>
      <c r="AS31" s="872"/>
      <c r="AT31" s="847"/>
      <c r="AU31" s="883"/>
      <c r="AV31" s="881"/>
      <c r="AW31" s="845"/>
      <c r="AX31" s="883"/>
      <c r="AY31" s="872"/>
      <c r="AZ31" s="847"/>
      <c r="BA31" s="883"/>
      <c r="BB31" s="881"/>
      <c r="BC31" s="845"/>
      <c r="BD31" s="883"/>
      <c r="BE31" s="872"/>
      <c r="BF31" s="847"/>
      <c r="BG31" s="883"/>
      <c r="BH31" s="881"/>
      <c r="BI31" s="845"/>
      <c r="BJ31" s="883"/>
      <c r="BK31" s="872"/>
      <c r="BL31" s="847"/>
      <c r="BM31" s="883"/>
      <c r="BN31" s="881"/>
      <c r="BO31" s="845"/>
      <c r="BP31" s="883"/>
      <c r="BQ31" s="872"/>
      <c r="BR31" s="847"/>
      <c r="BS31" s="883"/>
      <c r="BT31" s="881"/>
      <c r="BU31" s="845"/>
      <c r="BV31" s="883"/>
      <c r="BW31" s="872"/>
      <c r="BX31" s="851">
        <v>40349</v>
      </c>
    </row>
    <row r="32" spans="1:76" s="840" customFormat="1" ht="24.75" customHeight="1">
      <c r="A32" s="884"/>
      <c r="B32" s="885" t="s">
        <v>1421</v>
      </c>
      <c r="C32" s="886" t="s">
        <v>1422</v>
      </c>
      <c r="D32" s="887">
        <f>SUM(G32,J32,M32,P32,S32,V32,Y32,AB32,AE32,AH32,AK32,AN32)</f>
        <v>1009158</v>
      </c>
      <c r="E32" s="887">
        <f>SUM(H32,K32,N32,Q32,T32,W32,Z32,AC32,AF32,AI32,AL32,AO32)</f>
        <v>331871</v>
      </c>
      <c r="F32" s="779">
        <f>SUM(D32:E32)</f>
        <v>1341029</v>
      </c>
      <c r="G32" s="888">
        <v>47620</v>
      </c>
      <c r="H32" s="889">
        <v>40324</v>
      </c>
      <c r="I32" s="874">
        <f>SUM(G32:H32)</f>
        <v>87944</v>
      </c>
      <c r="J32" s="890">
        <v>49712</v>
      </c>
      <c r="K32" s="889">
        <v>38232</v>
      </c>
      <c r="L32" s="876">
        <f>SUM(J32:K32)</f>
        <v>87944</v>
      </c>
      <c r="M32" s="891">
        <v>51778</v>
      </c>
      <c r="N32" s="892">
        <v>36168</v>
      </c>
      <c r="O32" s="874">
        <f>SUM(M32:N32)</f>
        <v>87946</v>
      </c>
      <c r="P32" s="893">
        <v>53928</v>
      </c>
      <c r="Q32" s="894">
        <v>34017</v>
      </c>
      <c r="R32" s="874">
        <f>SUM(P32:Q32)</f>
        <v>87945</v>
      </c>
      <c r="S32" s="891">
        <v>56075</v>
      </c>
      <c r="T32" s="892">
        <v>31869</v>
      </c>
      <c r="U32" s="874">
        <f>SUM(S32:T32)</f>
        <v>87944</v>
      </c>
      <c r="V32" s="1237">
        <v>58496</v>
      </c>
      <c r="W32" s="892">
        <v>29451</v>
      </c>
      <c r="X32" s="874">
        <f>SUM(V32:W32)</f>
        <v>87947</v>
      </c>
      <c r="Y32" s="891">
        <v>60925</v>
      </c>
      <c r="Z32" s="892">
        <v>27011</v>
      </c>
      <c r="AA32" s="874">
        <f>SUM(Y32:Z32)</f>
        <v>87936</v>
      </c>
      <c r="AB32" s="1237">
        <v>63455</v>
      </c>
      <c r="AC32" s="892">
        <v>24743</v>
      </c>
      <c r="AD32" s="874">
        <f>SUM(AB32:AC32)</f>
        <v>88198</v>
      </c>
      <c r="AE32" s="891">
        <v>66026</v>
      </c>
      <c r="AF32" s="892">
        <v>21919</v>
      </c>
      <c r="AG32" s="874">
        <f>SUM(AE32:AF32)</f>
        <v>87945</v>
      </c>
      <c r="AH32" s="1237">
        <v>68832</v>
      </c>
      <c r="AI32" s="892">
        <v>18606</v>
      </c>
      <c r="AJ32" s="874">
        <f>SUM(AH32:AI32)</f>
        <v>87438</v>
      </c>
      <c r="AK32" s="891">
        <v>71691</v>
      </c>
      <c r="AL32" s="892">
        <v>16255</v>
      </c>
      <c r="AM32" s="874">
        <f>SUM(AK32:AL32)</f>
        <v>87946</v>
      </c>
      <c r="AN32" s="890">
        <v>360620</v>
      </c>
      <c r="AO32" s="889">
        <v>13276</v>
      </c>
      <c r="AP32" s="874">
        <f>SUM(AN32:AO32)</f>
        <v>373896</v>
      </c>
      <c r="AQ32" s="899"/>
      <c r="AR32" s="898"/>
      <c r="AS32" s="896"/>
      <c r="AT32" s="897"/>
      <c r="AU32" s="898"/>
      <c r="AV32" s="895"/>
      <c r="AW32" s="899"/>
      <c r="AX32" s="898"/>
      <c r="AY32" s="896"/>
      <c r="AZ32" s="897"/>
      <c r="BA32" s="898"/>
      <c r="BB32" s="895"/>
      <c r="BC32" s="899"/>
      <c r="BD32" s="898"/>
      <c r="BE32" s="896"/>
      <c r="BF32" s="897"/>
      <c r="BG32" s="898"/>
      <c r="BH32" s="895"/>
      <c r="BI32" s="899"/>
      <c r="BJ32" s="898"/>
      <c r="BK32" s="896"/>
      <c r="BL32" s="897"/>
      <c r="BM32" s="898"/>
      <c r="BN32" s="895"/>
      <c r="BO32" s="899"/>
      <c r="BP32" s="898"/>
      <c r="BQ32" s="896"/>
      <c r="BR32" s="897"/>
      <c r="BS32" s="898"/>
      <c r="BT32" s="895"/>
      <c r="BU32" s="899"/>
      <c r="BV32" s="898"/>
      <c r="BW32" s="896"/>
      <c r="BX32" s="900">
        <v>43800</v>
      </c>
    </row>
    <row r="33" spans="1:76" s="840" customFormat="1" ht="24.75" customHeight="1">
      <c r="A33" s="817"/>
      <c r="B33" s="812" t="s">
        <v>1050</v>
      </c>
      <c r="C33" s="901" t="s">
        <v>845</v>
      </c>
      <c r="D33" s="814">
        <f>SUM(G33,J33,M33,P33,S33,V33,Y33,AB33,AE33,AH33,AK33,AN33,AQ33,AT33,AW33,AZ33,BC33,BF33,BI33,BL33,BO33,BR33,BU33)</f>
        <v>15600</v>
      </c>
      <c r="E33" s="815">
        <f>SUM(H33,K33,N33,Q33,T33,W33,Z33,AC33,AF33,AI33,AL33,AO33,AR33,AU33,AX33,BA33,BD33,BG33,BJ33,BM33,BP33,BS33,BV33)</f>
        <v>2207</v>
      </c>
      <c r="F33" s="816">
        <f>SUM(D33:E33)</f>
        <v>17807</v>
      </c>
      <c r="G33" s="902">
        <v>5200</v>
      </c>
      <c r="H33" s="864">
        <v>1226</v>
      </c>
      <c r="I33" s="903">
        <f>SUM(G33:H33)</f>
        <v>6426</v>
      </c>
      <c r="J33" s="904">
        <v>5200</v>
      </c>
      <c r="K33" s="864">
        <v>736</v>
      </c>
      <c r="L33" s="905">
        <f>SUM(J33:K33)</f>
        <v>5936</v>
      </c>
      <c r="M33" s="906">
        <v>5200</v>
      </c>
      <c r="N33" s="907">
        <v>245</v>
      </c>
      <c r="O33" s="903">
        <f>SUM(M33:N33)</f>
        <v>5445</v>
      </c>
      <c r="P33" s="908"/>
      <c r="Q33" s="907"/>
      <c r="R33" s="905">
        <f>SUM(P33:Q33)</f>
        <v>0</v>
      </c>
      <c r="S33" s="906"/>
      <c r="T33" s="907"/>
      <c r="U33" s="903">
        <f>SUM(S33:T33)</f>
        <v>0</v>
      </c>
      <c r="V33" s="908"/>
      <c r="W33" s="907"/>
      <c r="X33" s="905">
        <f>SUM(V33:W33)</f>
        <v>0</v>
      </c>
      <c r="Y33" s="906"/>
      <c r="Z33" s="907"/>
      <c r="AA33" s="903">
        <f>SUM(Y33:Z33)</f>
        <v>0</v>
      </c>
      <c r="AB33" s="908"/>
      <c r="AC33" s="907"/>
      <c r="AD33" s="905">
        <f>SUM(AB33:AC33)</f>
        <v>0</v>
      </c>
      <c r="AE33" s="906"/>
      <c r="AF33" s="907"/>
      <c r="AG33" s="903">
        <f>SUM(AE33:AF33)</f>
        <v>0</v>
      </c>
      <c r="AH33" s="908"/>
      <c r="AI33" s="907"/>
      <c r="AJ33" s="905">
        <f>SUM(AH33:AI33)</f>
        <v>0</v>
      </c>
      <c r="AK33" s="906"/>
      <c r="AL33" s="907"/>
      <c r="AM33" s="903">
        <f>SUM(AK33:AL33)</f>
        <v>0</v>
      </c>
      <c r="AN33" s="909"/>
      <c r="AO33" s="910"/>
      <c r="AP33" s="905"/>
      <c r="AQ33" s="911"/>
      <c r="AR33" s="910"/>
      <c r="AS33" s="903"/>
      <c r="AT33" s="909"/>
      <c r="AU33" s="910"/>
      <c r="AV33" s="905"/>
      <c r="AW33" s="911"/>
      <c r="AX33" s="910"/>
      <c r="AY33" s="903"/>
      <c r="AZ33" s="909"/>
      <c r="BA33" s="910"/>
      <c r="BB33" s="905"/>
      <c r="BC33" s="911"/>
      <c r="BD33" s="910"/>
      <c r="BE33" s="903"/>
      <c r="BF33" s="909"/>
      <c r="BG33" s="910"/>
      <c r="BH33" s="905"/>
      <c r="BI33" s="911"/>
      <c r="BJ33" s="910"/>
      <c r="BK33" s="903"/>
      <c r="BL33" s="909"/>
      <c r="BM33" s="910"/>
      <c r="BN33" s="905"/>
      <c r="BO33" s="911"/>
      <c r="BP33" s="910"/>
      <c r="BQ33" s="903"/>
      <c r="BR33" s="909"/>
      <c r="BS33" s="910"/>
      <c r="BT33" s="905"/>
      <c r="BU33" s="911"/>
      <c r="BV33" s="910"/>
      <c r="BW33" s="903"/>
      <c r="BX33" s="826">
        <v>40298</v>
      </c>
    </row>
    <row r="34" spans="1:76" ht="34.5" customHeight="1">
      <c r="A34" s="1895" t="s">
        <v>1423</v>
      </c>
      <c r="B34" s="1896"/>
      <c r="C34" s="1897"/>
      <c r="D34" s="769">
        <f>SUM(D30,D29)</f>
        <v>13953511</v>
      </c>
      <c r="E34" s="770">
        <f>SUM(E29:E30)</f>
        <v>6227738.619766999</v>
      </c>
      <c r="F34" s="838">
        <f>SUM(D34:E34)</f>
        <v>20181249.619767</v>
      </c>
      <c r="G34" s="767">
        <f aca="true" t="shared" si="32" ref="G34:AL34">SUM(G29:G30)</f>
        <v>503211</v>
      </c>
      <c r="H34" s="770">
        <f t="shared" si="32"/>
        <v>622116.203</v>
      </c>
      <c r="I34" s="772">
        <f t="shared" si="32"/>
        <v>1125327.203</v>
      </c>
      <c r="J34" s="769">
        <f t="shared" si="32"/>
        <v>551822</v>
      </c>
      <c r="K34" s="770">
        <f t="shared" si="32"/>
        <v>476594.20300000004</v>
      </c>
      <c r="L34" s="771">
        <f t="shared" si="32"/>
        <v>1028416.203</v>
      </c>
      <c r="M34" s="767">
        <f t="shared" si="32"/>
        <v>462238</v>
      </c>
      <c r="N34" s="770">
        <f t="shared" si="32"/>
        <v>448686.20300000004</v>
      </c>
      <c r="O34" s="772">
        <f t="shared" si="32"/>
        <v>910924.203</v>
      </c>
      <c r="P34" s="769">
        <f t="shared" si="32"/>
        <v>454485.75</v>
      </c>
      <c r="Q34" s="770">
        <f t="shared" si="32"/>
        <v>430683.29676625</v>
      </c>
      <c r="R34" s="771">
        <f t="shared" si="32"/>
        <v>885169.0467662499</v>
      </c>
      <c r="S34" s="767">
        <f t="shared" si="32"/>
        <v>482476.5</v>
      </c>
      <c r="T34" s="770">
        <f t="shared" si="32"/>
        <v>413615.7655975</v>
      </c>
      <c r="U34" s="772">
        <f t="shared" si="32"/>
        <v>896092.2655975</v>
      </c>
      <c r="V34" s="769">
        <f t="shared" si="32"/>
        <v>483707.25</v>
      </c>
      <c r="W34" s="770">
        <f t="shared" si="32"/>
        <v>395318.44106175</v>
      </c>
      <c r="X34" s="771">
        <f t="shared" si="32"/>
        <v>879025.69106175</v>
      </c>
      <c r="Y34" s="767">
        <f t="shared" si="32"/>
        <v>522288.25</v>
      </c>
      <c r="Z34" s="770">
        <f t="shared" si="32"/>
        <v>377075.89252875</v>
      </c>
      <c r="AA34" s="772">
        <f t="shared" si="32"/>
        <v>899364.14252875</v>
      </c>
      <c r="AB34" s="769">
        <f t="shared" si="32"/>
        <v>516746.25</v>
      </c>
      <c r="AC34" s="770">
        <f t="shared" si="32"/>
        <v>357714.51242775</v>
      </c>
      <c r="AD34" s="771">
        <f t="shared" si="32"/>
        <v>874460.7624277499</v>
      </c>
      <c r="AE34" s="767">
        <f t="shared" si="32"/>
        <v>551304</v>
      </c>
      <c r="AF34" s="770">
        <f t="shared" si="32"/>
        <v>338147.56295700005</v>
      </c>
      <c r="AG34" s="772">
        <f t="shared" si="32"/>
        <v>889451.562957</v>
      </c>
      <c r="AH34" s="769">
        <f t="shared" si="32"/>
        <v>528279.75</v>
      </c>
      <c r="AI34" s="770">
        <f t="shared" si="32"/>
        <v>317161.31482325</v>
      </c>
      <c r="AJ34" s="771">
        <f t="shared" si="32"/>
        <v>845441.0648232499</v>
      </c>
      <c r="AK34" s="767">
        <f t="shared" si="32"/>
        <v>565633</v>
      </c>
      <c r="AL34" s="770">
        <f t="shared" si="32"/>
        <v>297913.08579</v>
      </c>
      <c r="AM34" s="772">
        <f aca="true" t="shared" si="33" ref="AM34:BW34">SUM(AM29:AM30)</f>
        <v>863546.0857899999</v>
      </c>
      <c r="AN34" s="769">
        <f t="shared" si="33"/>
        <v>524595</v>
      </c>
      <c r="AO34" s="770">
        <f t="shared" si="33"/>
        <v>263671.58605</v>
      </c>
      <c r="AP34" s="771">
        <f t="shared" si="33"/>
        <v>788266.58605</v>
      </c>
      <c r="AQ34" s="767">
        <f t="shared" si="33"/>
        <v>517405.5</v>
      </c>
      <c r="AR34" s="770">
        <f t="shared" si="33"/>
        <v>244299.0211945</v>
      </c>
      <c r="AS34" s="772">
        <f t="shared" si="33"/>
        <v>761704.5211945</v>
      </c>
      <c r="AT34" s="769">
        <f t="shared" si="33"/>
        <v>672132.5</v>
      </c>
      <c r="AU34" s="770">
        <f t="shared" si="33"/>
        <v>223622.3083965</v>
      </c>
      <c r="AV34" s="771">
        <f t="shared" si="33"/>
        <v>895754.8083965</v>
      </c>
      <c r="AW34" s="767">
        <f t="shared" si="33"/>
        <v>542547.75</v>
      </c>
      <c r="AX34" s="770">
        <f t="shared" si="33"/>
        <v>198716.80327325</v>
      </c>
      <c r="AY34" s="772">
        <f t="shared" si="33"/>
        <v>741264.5532732499</v>
      </c>
      <c r="AZ34" s="769">
        <f t="shared" si="33"/>
        <v>562625.5</v>
      </c>
      <c r="BA34" s="770">
        <f t="shared" si="33"/>
        <v>178539.50408850002</v>
      </c>
      <c r="BB34" s="771">
        <f t="shared" si="33"/>
        <v>741165.0040885</v>
      </c>
      <c r="BC34" s="767">
        <f t="shared" si="33"/>
        <v>576728.25</v>
      </c>
      <c r="BD34" s="770">
        <f t="shared" si="33"/>
        <v>157667.25230775002</v>
      </c>
      <c r="BE34" s="772">
        <f t="shared" si="33"/>
        <v>734395.50230775</v>
      </c>
      <c r="BF34" s="769">
        <f t="shared" si="33"/>
        <v>590831</v>
      </c>
      <c r="BG34" s="770">
        <f t="shared" si="33"/>
        <v>136275.07554000002</v>
      </c>
      <c r="BH34" s="771">
        <f t="shared" si="33"/>
        <v>727106.07554</v>
      </c>
      <c r="BI34" s="767">
        <f t="shared" si="33"/>
        <v>609387.25</v>
      </c>
      <c r="BJ34" s="770">
        <f t="shared" si="33"/>
        <v>114321.92707575002</v>
      </c>
      <c r="BK34" s="772">
        <f t="shared" si="33"/>
        <v>723709.17707575</v>
      </c>
      <c r="BL34" s="769">
        <f t="shared" si="33"/>
        <v>633139.25</v>
      </c>
      <c r="BM34" s="770">
        <f t="shared" si="33"/>
        <v>91636.77895875002</v>
      </c>
      <c r="BN34" s="771">
        <f t="shared" si="33"/>
        <v>724776.02895875</v>
      </c>
      <c r="BO34" s="767">
        <f t="shared" si="33"/>
        <v>656891.25</v>
      </c>
      <c r="BP34" s="770">
        <f t="shared" si="33"/>
        <v>68075.96770575001</v>
      </c>
      <c r="BQ34" s="772">
        <f t="shared" si="33"/>
        <v>724967.21770575</v>
      </c>
      <c r="BR34" s="769">
        <f t="shared" si="33"/>
        <v>670994</v>
      </c>
      <c r="BS34" s="770">
        <f t="shared" si="33"/>
        <v>43728.427854</v>
      </c>
      <c r="BT34" s="771">
        <f t="shared" si="33"/>
        <v>714722.427854</v>
      </c>
      <c r="BU34" s="767">
        <f t="shared" si="33"/>
        <v>682870</v>
      </c>
      <c r="BV34" s="770">
        <f t="shared" si="33"/>
        <v>18881.486370000002</v>
      </c>
      <c r="BW34" s="772">
        <f t="shared" si="33"/>
        <v>701751.48637</v>
      </c>
      <c r="BX34" s="871"/>
    </row>
    <row r="35" ht="15.75">
      <c r="F35" s="912"/>
    </row>
    <row r="36" ht="15.75">
      <c r="F36" s="912"/>
    </row>
    <row r="37" spans="6:20" ht="15.75">
      <c r="F37" s="912"/>
      <c r="S37" s="913"/>
      <c r="T37" s="913"/>
    </row>
    <row r="38" spans="6:20" ht="15.75">
      <c r="F38" s="912"/>
      <c r="S38" s="913"/>
      <c r="T38" s="913"/>
    </row>
    <row r="39" spans="6:20" ht="15.75">
      <c r="F39" s="912"/>
      <c r="S39" s="913"/>
      <c r="T39" s="913"/>
    </row>
    <row r="40" spans="6:20" ht="15.75">
      <c r="F40" s="912"/>
      <c r="Q40" s="913"/>
      <c r="S40" s="913"/>
      <c r="T40" s="913"/>
    </row>
    <row r="41" spans="6:20" ht="15.75">
      <c r="F41" s="912"/>
      <c r="Q41" s="913"/>
      <c r="S41" s="913"/>
      <c r="T41" s="913"/>
    </row>
    <row r="42" spans="6:20" ht="15.75">
      <c r="F42" s="912"/>
      <c r="Q42" s="913"/>
      <c r="S42" s="913"/>
      <c r="T42" s="913"/>
    </row>
    <row r="43" spans="6:20" ht="15.75">
      <c r="F43" s="912"/>
      <c r="S43" s="913"/>
      <c r="T43" s="913"/>
    </row>
    <row r="44" spans="6:20" ht="15.75">
      <c r="F44" s="912"/>
      <c r="S44" s="913"/>
      <c r="T44" s="913"/>
    </row>
    <row r="45" spans="6:20" ht="15.75">
      <c r="F45" s="912"/>
      <c r="S45" s="913"/>
      <c r="T45" s="913"/>
    </row>
    <row r="46" spans="19:20" ht="15.75">
      <c r="S46" s="913"/>
      <c r="T46" s="913"/>
    </row>
    <row r="47" spans="19:20" ht="15.75">
      <c r="S47" s="913"/>
      <c r="T47" s="913"/>
    </row>
    <row r="48" spans="19:20" ht="15.75">
      <c r="S48" s="913"/>
      <c r="T48" s="913"/>
    </row>
  </sheetData>
  <sheetProtection/>
  <mergeCells count="41">
    <mergeCell ref="BF2:BW2"/>
    <mergeCell ref="BF3:BW3"/>
    <mergeCell ref="BU6:BW6"/>
    <mergeCell ref="BF6:BH6"/>
    <mergeCell ref="BI6:BK6"/>
    <mergeCell ref="AN2:BE2"/>
    <mergeCell ref="AN3:BE3"/>
    <mergeCell ref="AN6:AP6"/>
    <mergeCell ref="V6:X6"/>
    <mergeCell ref="BC6:BE6"/>
    <mergeCell ref="AT6:AV6"/>
    <mergeCell ref="AW6:AY6"/>
    <mergeCell ref="AZ6:BB6"/>
    <mergeCell ref="AH6:AJ6"/>
    <mergeCell ref="AQ6:AS6"/>
    <mergeCell ref="A34:C34"/>
    <mergeCell ref="V2:AM2"/>
    <mergeCell ref="V3:AM3"/>
    <mergeCell ref="J6:L6"/>
    <mergeCell ref="M6:O6"/>
    <mergeCell ref="P6:R6"/>
    <mergeCell ref="AK6:AM6"/>
    <mergeCell ref="S6:U6"/>
    <mergeCell ref="A2:U2"/>
    <mergeCell ref="A3:U3"/>
    <mergeCell ref="AK1:AM1"/>
    <mergeCell ref="S1:U1"/>
    <mergeCell ref="B30:C30"/>
    <mergeCell ref="BX6:BX7"/>
    <mergeCell ref="A7:B7"/>
    <mergeCell ref="B8:C8"/>
    <mergeCell ref="A29:B29"/>
    <mergeCell ref="BL6:BN6"/>
    <mergeCell ref="BO6:BQ6"/>
    <mergeCell ref="BR6:BT6"/>
    <mergeCell ref="A6:C6"/>
    <mergeCell ref="D6:F6"/>
    <mergeCell ref="G6:I6"/>
    <mergeCell ref="AE6:AG6"/>
    <mergeCell ref="AB6:AD6"/>
    <mergeCell ref="Y6:AA6"/>
  </mergeCells>
  <printOptions horizontalCentered="1"/>
  <pageMargins left="0.1968503937007874" right="0.1968503937007874" top="0.63" bottom="0.1968503937007874" header="0.11811023622047245" footer="0.5118110236220472"/>
  <pageSetup horizontalDpi="300" verticalDpi="300" orientation="landscape" paperSize="9" scale="57" r:id="rId1"/>
  <colBreaks count="3" manualBreakCount="3">
    <brk id="21" max="34" man="1"/>
    <brk id="39" max="34" man="1"/>
    <brk id="57" max="34" man="1"/>
  </colBreaks>
</worksheet>
</file>

<file path=xl/worksheets/sheet2.xml><?xml version="1.0" encoding="utf-8"?>
<worksheet xmlns="http://schemas.openxmlformats.org/spreadsheetml/2006/main" xmlns:r="http://schemas.openxmlformats.org/officeDocument/2006/relationships">
  <sheetPr>
    <tabColor rgb="FFFFFF00"/>
  </sheetPr>
  <dimension ref="A1:M116"/>
  <sheetViews>
    <sheetView workbookViewId="0" topLeftCell="A93">
      <selection activeCell="F58" sqref="F58"/>
    </sheetView>
  </sheetViews>
  <sheetFormatPr defaultColWidth="9.140625" defaultRowHeight="12.75"/>
  <cols>
    <col min="1" max="1" width="83.57421875" style="1010" customWidth="1"/>
    <col min="2" max="2" width="11.28125" style="1011" customWidth="1"/>
    <col min="3" max="3" width="13.140625" style="1012" customWidth="1"/>
    <col min="4" max="4" width="14.421875" style="1012" customWidth="1"/>
    <col min="5" max="5" width="9.8515625" style="1012" hidden="1" customWidth="1"/>
    <col min="6" max="6" width="12.140625" style="1012" hidden="1" customWidth="1"/>
    <col min="7" max="7" width="9.8515625" style="1012" hidden="1" customWidth="1"/>
    <col min="8" max="8" width="0.42578125" style="1012" hidden="1" customWidth="1"/>
    <col min="9" max="9" width="15.140625" style="1012" customWidth="1"/>
    <col min="10" max="11" width="14.421875" style="1012" customWidth="1"/>
    <col min="12" max="13" width="10.8515625" style="1010" bestFit="1" customWidth="1"/>
    <col min="14" max="14" width="9.8515625" style="1010" bestFit="1" customWidth="1"/>
    <col min="15" max="16384" width="9.140625" style="1010" customWidth="1"/>
  </cols>
  <sheetData>
    <row r="1" spans="10:11" ht="15">
      <c r="J1" s="1469" t="s">
        <v>390</v>
      </c>
      <c r="K1" s="1469"/>
    </row>
    <row r="2" spans="1:11" s="1014" customFormat="1" ht="29.25" customHeight="1">
      <c r="A2" s="1452" t="s">
        <v>8</v>
      </c>
      <c r="B2" s="1452"/>
      <c r="C2" s="1452"/>
      <c r="D2" s="1452"/>
      <c r="E2" s="1452"/>
      <c r="F2" s="1452"/>
      <c r="G2" s="1452"/>
      <c r="H2" s="1452"/>
      <c r="I2" s="1452"/>
      <c r="J2" s="1452"/>
      <c r="K2" s="1452"/>
    </row>
    <row r="3" ht="15">
      <c r="K3" s="1013" t="s">
        <v>274</v>
      </c>
    </row>
    <row r="4" spans="1:11" ht="20.25" customHeight="1">
      <c r="A4" s="1453" t="s">
        <v>275</v>
      </c>
      <c r="B4" s="1456" t="s">
        <v>9</v>
      </c>
      <c r="C4" s="1459" t="s">
        <v>1362</v>
      </c>
      <c r="D4" s="1459"/>
      <c r="E4" s="1459"/>
      <c r="F4" s="1459"/>
      <c r="G4" s="1459"/>
      <c r="H4" s="1459"/>
      <c r="I4" s="1459"/>
      <c r="J4" s="1459"/>
      <c r="K4" s="1460"/>
    </row>
    <row r="5" spans="1:11" ht="26.25" customHeight="1">
      <c r="A5" s="1454"/>
      <c r="B5" s="1457"/>
      <c r="C5" s="1448" t="s">
        <v>1206</v>
      </c>
      <c r="D5" s="1434" t="s">
        <v>1361</v>
      </c>
      <c r="E5" s="1470" t="s">
        <v>278</v>
      </c>
      <c r="F5" s="1470"/>
      <c r="G5" s="1470" t="s">
        <v>279</v>
      </c>
      <c r="H5" s="1470"/>
      <c r="I5" s="1448" t="s">
        <v>278</v>
      </c>
      <c r="J5" s="1471" t="s">
        <v>279</v>
      </c>
      <c r="K5" s="1450" t="s">
        <v>280</v>
      </c>
    </row>
    <row r="6" spans="1:11" ht="15" customHeight="1">
      <c r="A6" s="1455"/>
      <c r="B6" s="1458"/>
      <c r="C6" s="1449"/>
      <c r="D6" s="1435"/>
      <c r="E6" s="1069" t="s">
        <v>281</v>
      </c>
      <c r="F6" s="1069" t="s">
        <v>282</v>
      </c>
      <c r="G6" s="1069" t="s">
        <v>281</v>
      </c>
      <c r="H6" s="1069" t="s">
        <v>282</v>
      </c>
      <c r="I6" s="1449"/>
      <c r="J6" s="1451"/>
      <c r="K6" s="1445"/>
    </row>
    <row r="7" spans="1:11" ht="15">
      <c r="A7" s="1015" t="s">
        <v>283</v>
      </c>
      <c r="B7" s="1016" t="s">
        <v>194</v>
      </c>
      <c r="C7" s="1017"/>
      <c r="D7" s="1017"/>
      <c r="E7" s="1017"/>
      <c r="F7" s="1017"/>
      <c r="G7" s="1017"/>
      <c r="H7" s="1017"/>
      <c r="I7" s="1018"/>
      <c r="J7" s="1018"/>
      <c r="K7" s="1019">
        <f>SUM(I7:I7)</f>
        <v>0</v>
      </c>
    </row>
    <row r="8" spans="1:11" ht="15">
      <c r="A8" s="1020" t="s">
        <v>284</v>
      </c>
      <c r="B8" s="1021" t="s">
        <v>285</v>
      </c>
      <c r="C8" s="1022">
        <v>76108</v>
      </c>
      <c r="D8" s="1023">
        <v>1430</v>
      </c>
      <c r="E8" s="1023">
        <v>1</v>
      </c>
      <c r="F8" s="1023">
        <f aca="true" t="shared" si="0" ref="F8:F14">D8*E8</f>
        <v>1430</v>
      </c>
      <c r="G8" s="1023"/>
      <c r="H8" s="1023">
        <f aca="true" t="shared" si="1" ref="H8:H39">G8*D8</f>
        <v>0</v>
      </c>
      <c r="I8" s="1022">
        <f>F8*C8</f>
        <v>108834440</v>
      </c>
      <c r="J8" s="1022"/>
      <c r="K8" s="1024">
        <f aca="true" t="shared" si="2" ref="K8:K39">SUM(I8:J8)</f>
        <v>108834440</v>
      </c>
    </row>
    <row r="9" spans="1:11" ht="15">
      <c r="A9" s="1025" t="s">
        <v>286</v>
      </c>
      <c r="B9" s="1021" t="s">
        <v>196</v>
      </c>
      <c r="C9" s="1022"/>
      <c r="D9" s="1023"/>
      <c r="E9" s="1023">
        <v>1</v>
      </c>
      <c r="F9" s="1023">
        <f t="shared" si="0"/>
        <v>0</v>
      </c>
      <c r="G9" s="1023"/>
      <c r="H9" s="1023">
        <f t="shared" si="1"/>
        <v>0</v>
      </c>
      <c r="I9" s="1022"/>
      <c r="J9" s="1022"/>
      <c r="K9" s="1024">
        <f t="shared" si="2"/>
        <v>0</v>
      </c>
    </row>
    <row r="10" spans="1:11" ht="15">
      <c r="A10" s="1020" t="s">
        <v>1308</v>
      </c>
      <c r="B10" s="1021" t="s">
        <v>287</v>
      </c>
      <c r="C10" s="1022">
        <v>1</v>
      </c>
      <c r="D10" s="1023">
        <v>3300000</v>
      </c>
      <c r="E10" s="1023">
        <v>1</v>
      </c>
      <c r="F10" s="1023">
        <f t="shared" si="0"/>
        <v>3300000</v>
      </c>
      <c r="G10" s="1023"/>
      <c r="H10" s="1023">
        <f t="shared" si="1"/>
        <v>0</v>
      </c>
      <c r="I10" s="1022">
        <f>F10*C10</f>
        <v>3300000</v>
      </c>
      <c r="J10" s="1022"/>
      <c r="K10" s="1024">
        <f t="shared" si="2"/>
        <v>3300000</v>
      </c>
    </row>
    <row r="11" spans="1:11" ht="15">
      <c r="A11" s="1020" t="s">
        <v>288</v>
      </c>
      <c r="B11" s="1021" t="s">
        <v>289</v>
      </c>
      <c r="C11" s="1022">
        <v>107783</v>
      </c>
      <c r="D11" s="1023">
        <v>513</v>
      </c>
      <c r="E11" s="1023">
        <v>1</v>
      </c>
      <c r="F11" s="1023">
        <f t="shared" si="0"/>
        <v>513</v>
      </c>
      <c r="G11" s="1023"/>
      <c r="H11" s="1023">
        <f t="shared" si="1"/>
        <v>0</v>
      </c>
      <c r="I11" s="1022">
        <f>F11*C11</f>
        <v>55292679</v>
      </c>
      <c r="J11" s="1022"/>
      <c r="K11" s="1024">
        <f t="shared" si="2"/>
        <v>55292679</v>
      </c>
    </row>
    <row r="12" spans="1:11" ht="15">
      <c r="A12" s="1020" t="s">
        <v>290</v>
      </c>
      <c r="B12" s="1021" t="s">
        <v>291</v>
      </c>
      <c r="C12" s="1023">
        <v>107605</v>
      </c>
      <c r="D12" s="1023">
        <v>280</v>
      </c>
      <c r="E12" s="1023">
        <v>1</v>
      </c>
      <c r="F12" s="1023">
        <f t="shared" si="0"/>
        <v>280</v>
      </c>
      <c r="G12" s="1023"/>
      <c r="H12" s="1023">
        <f t="shared" si="1"/>
        <v>0</v>
      </c>
      <c r="I12" s="1022">
        <f>F12*C12</f>
        <v>30129400</v>
      </c>
      <c r="J12" s="1022"/>
      <c r="K12" s="1024">
        <f t="shared" si="2"/>
        <v>30129400</v>
      </c>
    </row>
    <row r="13" spans="1:11" ht="15">
      <c r="A13" s="1025" t="s">
        <v>292</v>
      </c>
      <c r="B13" s="1021" t="s">
        <v>293</v>
      </c>
      <c r="C13" s="1022">
        <v>443</v>
      </c>
      <c r="D13" s="1023">
        <v>3800</v>
      </c>
      <c r="E13" s="1023">
        <v>1</v>
      </c>
      <c r="F13" s="1023">
        <f t="shared" si="0"/>
        <v>3800</v>
      </c>
      <c r="G13" s="1023"/>
      <c r="H13" s="1023">
        <f t="shared" si="1"/>
        <v>0</v>
      </c>
      <c r="I13" s="1022">
        <f>F13*C13</f>
        <v>1683400</v>
      </c>
      <c r="J13" s="1022"/>
      <c r="K13" s="1024">
        <f t="shared" si="2"/>
        <v>1683400</v>
      </c>
    </row>
    <row r="14" spans="1:11" ht="15">
      <c r="A14" s="1025" t="s">
        <v>294</v>
      </c>
      <c r="B14" s="1021" t="s">
        <v>295</v>
      </c>
      <c r="C14" s="1022">
        <v>5700000</v>
      </c>
      <c r="D14" s="1023">
        <v>2</v>
      </c>
      <c r="E14" s="1023">
        <v>1</v>
      </c>
      <c r="F14" s="1023">
        <f t="shared" si="0"/>
        <v>2</v>
      </c>
      <c r="G14" s="1023"/>
      <c r="H14" s="1023">
        <f t="shared" si="1"/>
        <v>0</v>
      </c>
      <c r="I14" s="1022">
        <f>F14*C14</f>
        <v>11400000</v>
      </c>
      <c r="J14" s="1022"/>
      <c r="K14" s="1024">
        <f t="shared" si="2"/>
        <v>11400000</v>
      </c>
    </row>
    <row r="15" spans="1:13" ht="15">
      <c r="A15" s="1025" t="s">
        <v>296</v>
      </c>
      <c r="B15" s="1021" t="s">
        <v>297</v>
      </c>
      <c r="C15" s="1023"/>
      <c r="D15" s="1023"/>
      <c r="E15" s="1023">
        <v>1</v>
      </c>
      <c r="F15" s="1023">
        <v>414179736</v>
      </c>
      <c r="G15" s="1023"/>
      <c r="H15" s="1023">
        <f t="shared" si="1"/>
        <v>0</v>
      </c>
      <c r="I15" s="1023">
        <f>F15</f>
        <v>414179736</v>
      </c>
      <c r="J15" s="1023"/>
      <c r="K15" s="1026">
        <f t="shared" si="2"/>
        <v>414179736</v>
      </c>
      <c r="L15" s="1027"/>
      <c r="M15" s="1027"/>
    </row>
    <row r="16" spans="1:11" ht="15">
      <c r="A16" s="1020" t="s">
        <v>1510</v>
      </c>
      <c r="B16" s="1021" t="s">
        <v>298</v>
      </c>
      <c r="C16" s="1022">
        <v>76108</v>
      </c>
      <c r="D16" s="1023">
        <v>1135</v>
      </c>
      <c r="E16" s="1023">
        <v>1</v>
      </c>
      <c r="F16" s="1023">
        <f aca="true" t="shared" si="3" ref="F16:F47">D16*E16</f>
        <v>1135</v>
      </c>
      <c r="G16" s="1023"/>
      <c r="H16" s="1023">
        <f t="shared" si="1"/>
        <v>0</v>
      </c>
      <c r="I16" s="1022">
        <f>F16*C16</f>
        <v>86382580</v>
      </c>
      <c r="J16" s="1022"/>
      <c r="K16" s="1024">
        <f t="shared" si="2"/>
        <v>86382580</v>
      </c>
    </row>
    <row r="17" spans="1:11" ht="15">
      <c r="A17" s="1025" t="s">
        <v>299</v>
      </c>
      <c r="B17" s="1021" t="s">
        <v>300</v>
      </c>
      <c r="C17" s="1022"/>
      <c r="D17" s="1023"/>
      <c r="E17" s="1023">
        <v>1</v>
      </c>
      <c r="F17" s="1023">
        <f t="shared" si="3"/>
        <v>0</v>
      </c>
      <c r="G17" s="1023"/>
      <c r="H17" s="1023">
        <f t="shared" si="1"/>
        <v>0</v>
      </c>
      <c r="I17" s="1022"/>
      <c r="J17" s="1022"/>
      <c r="K17" s="1024">
        <f t="shared" si="2"/>
        <v>0</v>
      </c>
    </row>
    <row r="18" spans="1:11" ht="15">
      <c r="A18" s="1020" t="s">
        <v>301</v>
      </c>
      <c r="B18" s="1021" t="s">
        <v>302</v>
      </c>
      <c r="C18" s="1022">
        <v>18</v>
      </c>
      <c r="D18" s="1023">
        <v>465100</v>
      </c>
      <c r="E18" s="1023">
        <v>1</v>
      </c>
      <c r="F18" s="1023">
        <f t="shared" si="3"/>
        <v>465100</v>
      </c>
      <c r="G18" s="1023"/>
      <c r="H18" s="1023">
        <f t="shared" si="1"/>
        <v>0</v>
      </c>
      <c r="I18" s="1022">
        <f>F18*C18</f>
        <v>8371800</v>
      </c>
      <c r="J18" s="1022"/>
      <c r="K18" s="1024">
        <f t="shared" si="2"/>
        <v>8371800</v>
      </c>
    </row>
    <row r="19" spans="1:11" ht="15">
      <c r="A19" s="1025" t="s">
        <v>303</v>
      </c>
      <c r="B19" s="1021" t="s">
        <v>304</v>
      </c>
      <c r="C19" s="1022"/>
      <c r="D19" s="1023"/>
      <c r="E19" s="1023">
        <v>1</v>
      </c>
      <c r="F19" s="1023">
        <f t="shared" si="3"/>
        <v>0</v>
      </c>
      <c r="G19" s="1023"/>
      <c r="H19" s="1023">
        <f t="shared" si="1"/>
        <v>0</v>
      </c>
      <c r="I19" s="1022">
        <f>C19*D19</f>
        <v>0</v>
      </c>
      <c r="J19" s="1022"/>
      <c r="K19" s="1024">
        <f t="shared" si="2"/>
        <v>0</v>
      </c>
    </row>
    <row r="20" spans="1:11" ht="15">
      <c r="A20" s="1020" t="s">
        <v>305</v>
      </c>
      <c r="B20" s="1021" t="s">
        <v>10</v>
      </c>
      <c r="C20" s="1022">
        <v>45</v>
      </c>
      <c r="D20" s="1023">
        <v>800000</v>
      </c>
      <c r="E20" s="1023">
        <v>1</v>
      </c>
      <c r="F20" s="1023">
        <f t="shared" si="3"/>
        <v>800000</v>
      </c>
      <c r="G20" s="1023"/>
      <c r="H20" s="1023">
        <f t="shared" si="1"/>
        <v>0</v>
      </c>
      <c r="I20" s="1022">
        <f>F20*C20</f>
        <v>36000000</v>
      </c>
      <c r="J20" s="1022"/>
      <c r="K20" s="1024">
        <f t="shared" si="2"/>
        <v>36000000</v>
      </c>
    </row>
    <row r="21" spans="1:11" ht="15">
      <c r="A21" s="1025" t="s">
        <v>306</v>
      </c>
      <c r="B21" s="1021" t="s">
        <v>307</v>
      </c>
      <c r="C21" s="1022"/>
      <c r="D21" s="1023"/>
      <c r="E21" s="1023">
        <v>1</v>
      </c>
      <c r="F21" s="1023">
        <f t="shared" si="3"/>
        <v>0</v>
      </c>
      <c r="G21" s="1023"/>
      <c r="H21" s="1023">
        <f t="shared" si="1"/>
        <v>0</v>
      </c>
      <c r="I21" s="1022">
        <f>C21*D21</f>
        <v>0</v>
      </c>
      <c r="J21" s="1022"/>
      <c r="K21" s="1024">
        <f t="shared" si="2"/>
        <v>0</v>
      </c>
    </row>
    <row r="22" spans="1:11" ht="15">
      <c r="A22" s="1020" t="s">
        <v>308</v>
      </c>
      <c r="B22" s="1021" t="s">
        <v>309</v>
      </c>
      <c r="C22" s="1022">
        <v>357</v>
      </c>
      <c r="D22" s="1023">
        <v>547000</v>
      </c>
      <c r="E22" s="1023">
        <v>1</v>
      </c>
      <c r="F22" s="1023">
        <f t="shared" si="3"/>
        <v>547000</v>
      </c>
      <c r="G22" s="1023"/>
      <c r="H22" s="1023">
        <f t="shared" si="1"/>
        <v>0</v>
      </c>
      <c r="I22" s="1022">
        <f>F22*C22</f>
        <v>195279000</v>
      </c>
      <c r="J22" s="1022"/>
      <c r="K22" s="1024">
        <f t="shared" si="2"/>
        <v>195279000</v>
      </c>
    </row>
    <row r="23" spans="1:11" ht="15">
      <c r="A23" s="1020" t="s">
        <v>310</v>
      </c>
      <c r="B23" s="1021" t="s">
        <v>311</v>
      </c>
      <c r="C23" s="1022">
        <v>45</v>
      </c>
      <c r="D23" s="1023">
        <v>50000</v>
      </c>
      <c r="E23" s="1023">
        <v>1</v>
      </c>
      <c r="F23" s="1023">
        <f t="shared" si="3"/>
        <v>50000</v>
      </c>
      <c r="G23" s="1023"/>
      <c r="H23" s="1023">
        <f t="shared" si="1"/>
        <v>0</v>
      </c>
      <c r="I23" s="1022">
        <f>F23*C23</f>
        <v>2250000</v>
      </c>
      <c r="J23" s="1022"/>
      <c r="K23" s="1024">
        <f t="shared" si="2"/>
        <v>2250000</v>
      </c>
    </row>
    <row r="24" spans="1:11" ht="15">
      <c r="A24" s="1025" t="s">
        <v>11</v>
      </c>
      <c r="B24" s="1021" t="s">
        <v>312</v>
      </c>
      <c r="C24" s="1022"/>
      <c r="D24" s="1023"/>
      <c r="E24" s="1023">
        <v>1</v>
      </c>
      <c r="F24" s="1023">
        <f t="shared" si="3"/>
        <v>0</v>
      </c>
      <c r="G24" s="1023"/>
      <c r="H24" s="1023">
        <f t="shared" si="1"/>
        <v>0</v>
      </c>
      <c r="I24" s="1022">
        <f>C24*D24</f>
        <v>0</v>
      </c>
      <c r="J24" s="1022"/>
      <c r="K24" s="1024">
        <f t="shared" si="2"/>
        <v>0</v>
      </c>
    </row>
    <row r="25" spans="1:11" ht="15">
      <c r="A25" s="1025" t="s">
        <v>353</v>
      </c>
      <c r="B25" s="1021" t="s">
        <v>12</v>
      </c>
      <c r="C25" s="1022"/>
      <c r="D25" s="1023"/>
      <c r="E25" s="1023">
        <v>1</v>
      </c>
      <c r="F25" s="1023">
        <f t="shared" si="3"/>
        <v>0</v>
      </c>
      <c r="G25" s="1023"/>
      <c r="H25" s="1023">
        <f t="shared" si="1"/>
        <v>0</v>
      </c>
      <c r="I25" s="1022">
        <f>C25*D25</f>
        <v>0</v>
      </c>
      <c r="J25" s="1022"/>
      <c r="K25" s="1024">
        <f t="shared" si="2"/>
        <v>0</v>
      </c>
    </row>
    <row r="26" spans="1:11" ht="15">
      <c r="A26" s="1028" t="s">
        <v>1363</v>
      </c>
      <c r="B26" s="489" t="s">
        <v>13</v>
      </c>
      <c r="C26" s="1022">
        <v>461</v>
      </c>
      <c r="D26" s="1022">
        <v>2550000</v>
      </c>
      <c r="E26" s="1023">
        <v>1</v>
      </c>
      <c r="F26" s="1023">
        <f t="shared" si="3"/>
        <v>2550000</v>
      </c>
      <c r="G26" s="1022"/>
      <c r="H26" s="1023">
        <f t="shared" si="1"/>
        <v>0</v>
      </c>
      <c r="I26" s="1022">
        <f>'[3]Segéd összesen'!M9</f>
        <v>63410000</v>
      </c>
      <c r="J26" s="1022"/>
      <c r="K26" s="1024">
        <f t="shared" si="2"/>
        <v>63410000</v>
      </c>
    </row>
    <row r="27" spans="1:11" ht="15">
      <c r="A27" s="1028" t="s">
        <v>1364</v>
      </c>
      <c r="B27" s="489" t="s">
        <v>14</v>
      </c>
      <c r="C27" s="1022">
        <v>1911</v>
      </c>
      <c r="D27" s="1022">
        <v>2550000</v>
      </c>
      <c r="E27" s="1023">
        <v>1</v>
      </c>
      <c r="F27" s="1023">
        <f t="shared" si="3"/>
        <v>2550000</v>
      </c>
      <c r="G27" s="1022"/>
      <c r="H27" s="1023">
        <f t="shared" si="1"/>
        <v>0</v>
      </c>
      <c r="I27" s="1022">
        <f>'[3]Segéd összesen'!M10</f>
        <v>309570000</v>
      </c>
      <c r="J27" s="1022"/>
      <c r="K27" s="1024">
        <f t="shared" si="2"/>
        <v>309570000</v>
      </c>
    </row>
    <row r="28" spans="1:11" ht="15">
      <c r="A28" s="1028" t="s">
        <v>1365</v>
      </c>
      <c r="B28" s="489" t="s">
        <v>15</v>
      </c>
      <c r="C28" s="1022">
        <v>1090</v>
      </c>
      <c r="D28" s="1022">
        <v>2550000</v>
      </c>
      <c r="E28" s="1023">
        <v>1</v>
      </c>
      <c r="F28" s="1023">
        <f t="shared" si="3"/>
        <v>2550000</v>
      </c>
      <c r="G28" s="1022"/>
      <c r="H28" s="1023">
        <f t="shared" si="1"/>
        <v>0</v>
      </c>
      <c r="I28" s="1022">
        <f>'[3]Segéd összesen'!M30</f>
        <v>75055000</v>
      </c>
      <c r="J28" s="1022"/>
      <c r="K28" s="1024">
        <f t="shared" si="2"/>
        <v>75055000</v>
      </c>
    </row>
    <row r="29" spans="1:11" ht="15">
      <c r="A29" s="1028" t="s">
        <v>1366</v>
      </c>
      <c r="B29" s="489" t="s">
        <v>34</v>
      </c>
      <c r="C29" s="1022">
        <v>1278</v>
      </c>
      <c r="D29" s="1022">
        <v>2550000</v>
      </c>
      <c r="E29" s="1023">
        <v>1</v>
      </c>
      <c r="F29" s="1023">
        <f t="shared" si="3"/>
        <v>2550000</v>
      </c>
      <c r="G29" s="1022"/>
      <c r="H29" s="1023">
        <f t="shared" si="1"/>
        <v>0</v>
      </c>
      <c r="I29" s="1022">
        <f>'[3]Segéd összesen'!M31</f>
        <v>103530000</v>
      </c>
      <c r="J29" s="1022"/>
      <c r="K29" s="1024">
        <f t="shared" si="2"/>
        <v>103530000</v>
      </c>
    </row>
    <row r="30" spans="1:11" ht="15">
      <c r="A30" s="1028" t="s">
        <v>1367</v>
      </c>
      <c r="B30" s="489" t="s">
        <v>35</v>
      </c>
      <c r="C30" s="1022">
        <v>718</v>
      </c>
      <c r="D30" s="1022">
        <v>2550000</v>
      </c>
      <c r="E30" s="1023">
        <v>1</v>
      </c>
      <c r="F30" s="1023">
        <f t="shared" si="3"/>
        <v>2550000</v>
      </c>
      <c r="G30" s="1022"/>
      <c r="H30" s="1023">
        <f t="shared" si="1"/>
        <v>0</v>
      </c>
      <c r="I30" s="1022">
        <f>'[3]Segéd összesen'!M11</f>
        <v>69700000</v>
      </c>
      <c r="J30" s="1022"/>
      <c r="K30" s="1024">
        <f t="shared" si="2"/>
        <v>69700000</v>
      </c>
    </row>
    <row r="31" spans="1:11" ht="15">
      <c r="A31" s="1028" t="s">
        <v>1368</v>
      </c>
      <c r="B31" s="489" t="s">
        <v>36</v>
      </c>
      <c r="C31" s="1022">
        <v>1346</v>
      </c>
      <c r="D31" s="1022">
        <v>2550000</v>
      </c>
      <c r="E31" s="1023">
        <v>1</v>
      </c>
      <c r="F31" s="1023">
        <f t="shared" si="3"/>
        <v>2550000</v>
      </c>
      <c r="G31" s="1022"/>
      <c r="H31" s="1023">
        <f t="shared" si="1"/>
        <v>0</v>
      </c>
      <c r="I31" s="1023">
        <f>'[3]Segéd összesen'!M12</f>
        <v>164220000</v>
      </c>
      <c r="J31" s="1022"/>
      <c r="K31" s="1024">
        <f t="shared" si="2"/>
        <v>164220000</v>
      </c>
    </row>
    <row r="32" spans="1:11" ht="15">
      <c r="A32" s="1028" t="s">
        <v>1369</v>
      </c>
      <c r="B32" s="489" t="s">
        <v>37</v>
      </c>
      <c r="C32" s="1022">
        <v>736</v>
      </c>
      <c r="D32" s="1022">
        <v>2550000</v>
      </c>
      <c r="E32" s="1023">
        <v>1</v>
      </c>
      <c r="F32" s="1023">
        <f t="shared" si="3"/>
        <v>2550000</v>
      </c>
      <c r="G32" s="1022"/>
      <c r="H32" s="1023">
        <f t="shared" si="1"/>
        <v>0</v>
      </c>
      <c r="I32" s="1022">
        <f>'[3]Segéd összesen'!M13</f>
        <v>108630000</v>
      </c>
      <c r="J32" s="1022"/>
      <c r="K32" s="1024">
        <f t="shared" si="2"/>
        <v>108630000</v>
      </c>
    </row>
    <row r="33" spans="1:11" ht="15">
      <c r="A33" s="1028" t="s">
        <v>1370</v>
      </c>
      <c r="B33" s="489" t="s">
        <v>38</v>
      </c>
      <c r="C33" s="1022">
        <v>754</v>
      </c>
      <c r="D33" s="1022">
        <v>2550000</v>
      </c>
      <c r="E33" s="1023">
        <v>1</v>
      </c>
      <c r="F33" s="1023">
        <f t="shared" si="3"/>
        <v>2550000</v>
      </c>
      <c r="G33" s="1022"/>
      <c r="H33" s="1023">
        <f t="shared" si="1"/>
        <v>0</v>
      </c>
      <c r="I33" s="1022">
        <f>'[3]Segéd összesen'!M14</f>
        <v>86360000</v>
      </c>
      <c r="J33" s="1022"/>
      <c r="K33" s="1024">
        <f t="shared" si="2"/>
        <v>86360000</v>
      </c>
    </row>
    <row r="34" spans="1:11" ht="15">
      <c r="A34" s="1028" t="s">
        <v>1371</v>
      </c>
      <c r="B34" s="489" t="s">
        <v>39</v>
      </c>
      <c r="C34" s="1022">
        <v>868</v>
      </c>
      <c r="D34" s="1022">
        <v>2550000</v>
      </c>
      <c r="E34" s="1023">
        <v>1</v>
      </c>
      <c r="F34" s="1023">
        <f t="shared" si="3"/>
        <v>2550000</v>
      </c>
      <c r="G34" s="1022"/>
      <c r="H34" s="1023">
        <f t="shared" si="1"/>
        <v>0</v>
      </c>
      <c r="I34" s="1022">
        <f>'[3]Segéd összesen'!M15</f>
        <v>114410000</v>
      </c>
      <c r="J34" s="1022"/>
      <c r="K34" s="1024">
        <f t="shared" si="2"/>
        <v>114410000</v>
      </c>
    </row>
    <row r="35" spans="1:11" ht="15">
      <c r="A35" s="1028" t="s">
        <v>1372</v>
      </c>
      <c r="B35" s="489" t="s">
        <v>40</v>
      </c>
      <c r="C35" s="1022">
        <v>1779</v>
      </c>
      <c r="D35" s="1022">
        <v>2550000</v>
      </c>
      <c r="E35" s="1023">
        <v>1</v>
      </c>
      <c r="F35" s="1023">
        <f t="shared" si="3"/>
        <v>2550000</v>
      </c>
      <c r="G35" s="1022"/>
      <c r="H35" s="1023">
        <f t="shared" si="1"/>
        <v>0</v>
      </c>
      <c r="I35" s="1022">
        <f>'[3]Segéd összesen'!M16</f>
        <v>266220000</v>
      </c>
      <c r="J35" s="1022"/>
      <c r="K35" s="1024">
        <f t="shared" si="2"/>
        <v>266220000</v>
      </c>
    </row>
    <row r="36" spans="1:11" ht="15">
      <c r="A36" s="1028" t="s">
        <v>1373</v>
      </c>
      <c r="B36" s="489" t="s">
        <v>41</v>
      </c>
      <c r="C36" s="1022">
        <v>1401</v>
      </c>
      <c r="D36" s="1022">
        <v>2550000</v>
      </c>
      <c r="E36" s="1023">
        <v>1</v>
      </c>
      <c r="F36" s="1023">
        <f t="shared" si="3"/>
        <v>2550000</v>
      </c>
      <c r="G36" s="1022"/>
      <c r="H36" s="1023">
        <f t="shared" si="1"/>
        <v>0</v>
      </c>
      <c r="I36" s="1022">
        <f>'[3]Segéd összesen'!M32</f>
        <v>68085000.4285714</v>
      </c>
      <c r="J36" s="1022"/>
      <c r="K36" s="1024">
        <f t="shared" si="2"/>
        <v>68085000.4285714</v>
      </c>
    </row>
    <row r="37" spans="1:11" ht="15">
      <c r="A37" s="1028" t="s">
        <v>1374</v>
      </c>
      <c r="B37" s="489" t="s">
        <v>42</v>
      </c>
      <c r="C37" s="1022">
        <v>677</v>
      </c>
      <c r="D37" s="1022">
        <v>2550000</v>
      </c>
      <c r="E37" s="1023">
        <v>1</v>
      </c>
      <c r="F37" s="1023">
        <f t="shared" si="3"/>
        <v>2550000</v>
      </c>
      <c r="G37" s="1022"/>
      <c r="H37" s="1023">
        <f t="shared" si="1"/>
        <v>0</v>
      </c>
      <c r="I37" s="1022">
        <f>'[3]Segéd összesen'!M33</f>
        <v>41310000</v>
      </c>
      <c r="J37" s="1022"/>
      <c r="K37" s="1024">
        <f t="shared" si="2"/>
        <v>41310000</v>
      </c>
    </row>
    <row r="38" spans="1:11" ht="15">
      <c r="A38" s="1028" t="s">
        <v>1375</v>
      </c>
      <c r="B38" s="489" t="s">
        <v>43</v>
      </c>
      <c r="C38" s="1022">
        <v>673</v>
      </c>
      <c r="D38" s="1022">
        <v>2550000</v>
      </c>
      <c r="E38" s="1023">
        <v>1</v>
      </c>
      <c r="F38" s="1023">
        <f t="shared" si="3"/>
        <v>2550000</v>
      </c>
      <c r="G38" s="1022"/>
      <c r="H38" s="1023">
        <f t="shared" si="1"/>
        <v>0</v>
      </c>
      <c r="I38" s="1022">
        <f>'[3]Segéd összesen'!M34</f>
        <v>49724999.75</v>
      </c>
      <c r="J38" s="1022"/>
      <c r="K38" s="1024">
        <f t="shared" si="2"/>
        <v>49724999.75</v>
      </c>
    </row>
    <row r="39" spans="1:11" ht="15">
      <c r="A39" s="1028" t="s">
        <v>1376</v>
      </c>
      <c r="B39" s="489" t="s">
        <v>44</v>
      </c>
      <c r="C39" s="1022">
        <v>1492</v>
      </c>
      <c r="D39" s="1022">
        <v>2550000</v>
      </c>
      <c r="E39" s="1023">
        <v>1</v>
      </c>
      <c r="F39" s="1023">
        <f t="shared" si="3"/>
        <v>2550000</v>
      </c>
      <c r="G39" s="1022"/>
      <c r="H39" s="1023">
        <f t="shared" si="1"/>
        <v>0</v>
      </c>
      <c r="I39" s="1022">
        <f>'[3]Segéd összesen'!M35</f>
        <v>85425000.17391305</v>
      </c>
      <c r="J39" s="1022"/>
      <c r="K39" s="1024">
        <f t="shared" si="2"/>
        <v>85425000.17391305</v>
      </c>
    </row>
    <row r="40" spans="1:11" ht="15">
      <c r="A40" s="1028" t="s">
        <v>1377</v>
      </c>
      <c r="B40" s="489" t="s">
        <v>45</v>
      </c>
      <c r="C40" s="1022">
        <v>1756</v>
      </c>
      <c r="D40" s="1022">
        <v>2550000</v>
      </c>
      <c r="E40" s="1023">
        <v>1</v>
      </c>
      <c r="F40" s="1023">
        <f t="shared" si="3"/>
        <v>2550000</v>
      </c>
      <c r="G40" s="1022"/>
      <c r="H40" s="1023">
        <f aca="true" t="shared" si="4" ref="H40:H71">G40*D40</f>
        <v>0</v>
      </c>
      <c r="I40" s="1022">
        <f>'[3]Segéd összesen'!M36</f>
        <v>131325000</v>
      </c>
      <c r="J40" s="1022"/>
      <c r="K40" s="1024">
        <f aca="true" t="shared" si="5" ref="K40:K69">SUM(I40:J40)</f>
        <v>131325000</v>
      </c>
    </row>
    <row r="41" spans="1:11" ht="15">
      <c r="A41" s="1028" t="s">
        <v>1378</v>
      </c>
      <c r="B41" s="489" t="s">
        <v>46</v>
      </c>
      <c r="C41" s="1022">
        <v>1661</v>
      </c>
      <c r="D41" s="1022">
        <v>2550000</v>
      </c>
      <c r="E41" s="1023">
        <v>1</v>
      </c>
      <c r="F41" s="1023">
        <f t="shared" si="3"/>
        <v>2550000</v>
      </c>
      <c r="G41" s="1022"/>
      <c r="H41" s="1023">
        <f t="shared" si="4"/>
        <v>0</v>
      </c>
      <c r="I41" s="1022">
        <f>'[3]Segéd összesen'!M17</f>
        <v>234939999.7142857</v>
      </c>
      <c r="J41" s="1022"/>
      <c r="K41" s="1024">
        <f t="shared" si="5"/>
        <v>234939999.7142857</v>
      </c>
    </row>
    <row r="42" spans="1:11" ht="15">
      <c r="A42" s="1028" t="s">
        <v>1379</v>
      </c>
      <c r="B42" s="489" t="s">
        <v>47</v>
      </c>
      <c r="C42" s="1022">
        <v>1782</v>
      </c>
      <c r="D42" s="1022">
        <v>2550000</v>
      </c>
      <c r="E42" s="1023">
        <v>1</v>
      </c>
      <c r="F42" s="1023">
        <f t="shared" si="3"/>
        <v>2550000</v>
      </c>
      <c r="G42" s="1022"/>
      <c r="H42" s="1023">
        <f t="shared" si="4"/>
        <v>0</v>
      </c>
      <c r="I42" s="1022">
        <f>'[3]Segéd összesen'!M18</f>
        <v>271489999.6923077</v>
      </c>
      <c r="J42" s="1022"/>
      <c r="K42" s="1024">
        <f t="shared" si="5"/>
        <v>271489999.6923077</v>
      </c>
    </row>
    <row r="43" spans="1:11" ht="15">
      <c r="A43" s="1028" t="s">
        <v>1380</v>
      </c>
      <c r="B43" s="489" t="s">
        <v>48</v>
      </c>
      <c r="C43" s="1022">
        <v>2728</v>
      </c>
      <c r="D43" s="1022">
        <v>2550000</v>
      </c>
      <c r="E43" s="1023">
        <v>1</v>
      </c>
      <c r="F43" s="1023">
        <f t="shared" si="3"/>
        <v>2550000</v>
      </c>
      <c r="G43" s="1022"/>
      <c r="H43" s="1023">
        <f t="shared" si="4"/>
        <v>0</v>
      </c>
      <c r="I43" s="1022">
        <f>'[3]Segéd összesen'!M19</f>
        <v>492320000</v>
      </c>
      <c r="J43" s="1022"/>
      <c r="K43" s="1024">
        <f t="shared" si="5"/>
        <v>492320000</v>
      </c>
    </row>
    <row r="44" spans="1:11" ht="15">
      <c r="A44" s="1028" t="s">
        <v>1381</v>
      </c>
      <c r="B44" s="489" t="s">
        <v>49</v>
      </c>
      <c r="C44" s="1022">
        <v>3011</v>
      </c>
      <c r="D44" s="1022">
        <v>2550000</v>
      </c>
      <c r="E44" s="1023">
        <v>1</v>
      </c>
      <c r="F44" s="1023">
        <f t="shared" si="3"/>
        <v>2550000</v>
      </c>
      <c r="G44" s="1022"/>
      <c r="H44" s="1023">
        <f t="shared" si="4"/>
        <v>0</v>
      </c>
      <c r="I44" s="1022">
        <f>'[3]Segéd összesen'!M37</f>
        <v>213010000</v>
      </c>
      <c r="J44" s="1022"/>
      <c r="K44" s="1024">
        <f t="shared" si="5"/>
        <v>213010000</v>
      </c>
    </row>
    <row r="45" spans="1:11" ht="15">
      <c r="A45" s="1028" t="s">
        <v>1382</v>
      </c>
      <c r="B45" s="489" t="s">
        <v>50</v>
      </c>
      <c r="C45" s="1022">
        <v>3005</v>
      </c>
      <c r="D45" s="1022">
        <v>2550000</v>
      </c>
      <c r="E45" s="1023">
        <v>1</v>
      </c>
      <c r="F45" s="1023">
        <f t="shared" si="3"/>
        <v>2550000</v>
      </c>
      <c r="G45" s="1022"/>
      <c r="H45" s="1023">
        <f t="shared" si="4"/>
        <v>0</v>
      </c>
      <c r="I45" s="1022">
        <f>'[3]Segéd összesen'!M38</f>
        <v>271150000.30769235</v>
      </c>
      <c r="J45" s="1022"/>
      <c r="K45" s="1024">
        <f t="shared" si="5"/>
        <v>271150000.30769235</v>
      </c>
    </row>
    <row r="46" spans="1:11" ht="30">
      <c r="A46" s="1028" t="s">
        <v>1384</v>
      </c>
      <c r="B46" s="489" t="s">
        <v>51</v>
      </c>
      <c r="C46" s="1022">
        <v>667</v>
      </c>
      <c r="D46" s="1022">
        <v>2550000</v>
      </c>
      <c r="E46" s="1023">
        <v>1</v>
      </c>
      <c r="F46" s="1023">
        <f t="shared" si="3"/>
        <v>2550000</v>
      </c>
      <c r="G46" s="1022"/>
      <c r="H46" s="1023">
        <f t="shared" si="4"/>
        <v>0</v>
      </c>
      <c r="I46" s="1022">
        <f>'[3]Segéd összesen'!M20</f>
        <v>82280000</v>
      </c>
      <c r="J46" s="1022"/>
      <c r="K46" s="1024">
        <f t="shared" si="5"/>
        <v>82280000</v>
      </c>
    </row>
    <row r="47" spans="1:11" ht="15">
      <c r="A47" s="1028" t="s">
        <v>1385</v>
      </c>
      <c r="B47" s="489" t="s">
        <v>52</v>
      </c>
      <c r="C47" s="1022">
        <v>880</v>
      </c>
      <c r="D47" s="1022">
        <v>2550000</v>
      </c>
      <c r="E47" s="1023">
        <v>1</v>
      </c>
      <c r="F47" s="1023">
        <f t="shared" si="3"/>
        <v>2550000</v>
      </c>
      <c r="G47" s="1022"/>
      <c r="H47" s="1023">
        <f t="shared" si="4"/>
        <v>0</v>
      </c>
      <c r="I47" s="1022">
        <f>'[3]Segéd összesen'!M21</f>
        <v>116790000</v>
      </c>
      <c r="J47" s="1022"/>
      <c r="K47" s="1024">
        <f t="shared" si="5"/>
        <v>116790000</v>
      </c>
    </row>
    <row r="48" spans="1:11" ht="30">
      <c r="A48" s="1029" t="s">
        <v>1386</v>
      </c>
      <c r="B48" s="490" t="s">
        <v>53</v>
      </c>
      <c r="C48" s="1022">
        <v>1389</v>
      </c>
      <c r="D48" s="1022">
        <v>2550000</v>
      </c>
      <c r="E48" s="1023">
        <v>1</v>
      </c>
      <c r="F48" s="1023">
        <f aca="true" t="shared" si="6" ref="F48:F79">D48*E48</f>
        <v>2550000</v>
      </c>
      <c r="G48" s="1022"/>
      <c r="H48" s="1023">
        <f t="shared" si="4"/>
        <v>0</v>
      </c>
      <c r="I48" s="1022">
        <f>'[3]Segéd összesen'!M39</f>
        <v>85594999.99999999</v>
      </c>
      <c r="J48" s="1022"/>
      <c r="K48" s="1024">
        <f t="shared" si="5"/>
        <v>85594999.99999999</v>
      </c>
    </row>
    <row r="49" spans="1:11" ht="30">
      <c r="A49" s="1029" t="s">
        <v>1383</v>
      </c>
      <c r="B49" s="490" t="s">
        <v>54</v>
      </c>
      <c r="C49" s="491">
        <v>237</v>
      </c>
      <c r="D49" s="1022">
        <v>2550000</v>
      </c>
      <c r="E49" s="1023">
        <v>1</v>
      </c>
      <c r="F49" s="1023">
        <f t="shared" si="6"/>
        <v>2550000</v>
      </c>
      <c r="G49" s="1022"/>
      <c r="H49" s="1023">
        <f t="shared" si="4"/>
        <v>0</v>
      </c>
      <c r="I49" s="1022">
        <f>'[3]Segéd összesen'!M40</f>
        <v>15725000.153846152</v>
      </c>
      <c r="J49" s="1022"/>
      <c r="K49" s="1024">
        <f t="shared" si="5"/>
        <v>15725000.153846152</v>
      </c>
    </row>
    <row r="50" spans="1:11" ht="17.25" customHeight="1">
      <c r="A50" s="1020" t="s">
        <v>1205</v>
      </c>
      <c r="B50" s="1021" t="s">
        <v>55</v>
      </c>
      <c r="C50" s="1022">
        <f>'[3]Összesítő kerekített'!C51</f>
        <v>267.3333333333333</v>
      </c>
      <c r="D50" s="1022">
        <v>105000</v>
      </c>
      <c r="E50" s="1023">
        <v>1</v>
      </c>
      <c r="F50" s="1023">
        <f t="shared" si="6"/>
        <v>105000</v>
      </c>
      <c r="G50" s="1022"/>
      <c r="H50" s="1023">
        <f t="shared" si="4"/>
        <v>0</v>
      </c>
      <c r="I50" s="1022">
        <f>F50*C50</f>
        <v>28069999.999999996</v>
      </c>
      <c r="J50" s="1022"/>
      <c r="K50" s="1024">
        <f t="shared" si="5"/>
        <v>28069999.999999996</v>
      </c>
    </row>
    <row r="51" spans="1:11" ht="30">
      <c r="A51" s="1020" t="s">
        <v>56</v>
      </c>
      <c r="B51" s="1021" t="s">
        <v>57</v>
      </c>
      <c r="C51" s="1022">
        <f>'[3]Összesítő kerekített'!C52</f>
        <v>330.6666666666667</v>
      </c>
      <c r="D51" s="1022">
        <v>40000</v>
      </c>
      <c r="E51" s="1023">
        <v>1</v>
      </c>
      <c r="F51" s="1023">
        <f t="shared" si="6"/>
        <v>40000</v>
      </c>
      <c r="G51" s="1022"/>
      <c r="H51" s="1023">
        <f t="shared" si="4"/>
        <v>0</v>
      </c>
      <c r="I51" s="1022">
        <f>F51*C51</f>
        <v>13226666.666666668</v>
      </c>
      <c r="J51" s="1022"/>
      <c r="K51" s="1024">
        <f t="shared" si="5"/>
        <v>13226666.666666668</v>
      </c>
    </row>
    <row r="52" spans="1:11" ht="30">
      <c r="A52" s="1020" t="s">
        <v>58</v>
      </c>
      <c r="B52" s="1021" t="s">
        <v>59</v>
      </c>
      <c r="C52" s="1022">
        <f>'[3]Összesítő kerekített'!C53</f>
        <v>216</v>
      </c>
      <c r="D52" s="1022">
        <v>20000</v>
      </c>
      <c r="E52" s="1023">
        <v>1</v>
      </c>
      <c r="F52" s="1023">
        <f t="shared" si="6"/>
        <v>20000</v>
      </c>
      <c r="G52" s="1022"/>
      <c r="H52" s="1023">
        <f t="shared" si="4"/>
        <v>0</v>
      </c>
      <c r="I52" s="1022">
        <f>F52*C52</f>
        <v>4320000</v>
      </c>
      <c r="J52" s="1022"/>
      <c r="K52" s="1024">
        <f t="shared" si="5"/>
        <v>4320000</v>
      </c>
    </row>
    <row r="53" spans="1:11" ht="15">
      <c r="A53" s="1028" t="s">
        <v>1387</v>
      </c>
      <c r="B53" s="489" t="s">
        <v>60</v>
      </c>
      <c r="C53" s="1022">
        <f>'[3]Összesítő kerekített'!C54</f>
        <v>403</v>
      </c>
      <c r="D53" s="1022">
        <v>2550000</v>
      </c>
      <c r="E53" s="1023">
        <v>1</v>
      </c>
      <c r="F53" s="1023">
        <f t="shared" si="6"/>
        <v>2550000</v>
      </c>
      <c r="G53" s="1022"/>
      <c r="H53" s="1023">
        <f t="shared" si="4"/>
        <v>0</v>
      </c>
      <c r="I53" s="1022">
        <f>'[3]Segéd összesen'!M41</f>
        <v>7310000</v>
      </c>
      <c r="J53" s="1022"/>
      <c r="K53" s="1024">
        <f t="shared" si="5"/>
        <v>7310000</v>
      </c>
    </row>
    <row r="54" spans="1:11" ht="30">
      <c r="A54" s="1028" t="s">
        <v>1388</v>
      </c>
      <c r="B54" s="1030" t="s">
        <v>1212</v>
      </c>
      <c r="C54" s="1022">
        <f>'[3]Összesítő kerekített'!C55</f>
        <v>828</v>
      </c>
      <c r="D54" s="1022">
        <v>2550000</v>
      </c>
      <c r="E54" s="1023">
        <v>1</v>
      </c>
      <c r="F54" s="1023">
        <f t="shared" si="6"/>
        <v>2550000</v>
      </c>
      <c r="G54" s="1022"/>
      <c r="H54" s="1023">
        <f t="shared" si="4"/>
        <v>0</v>
      </c>
      <c r="I54" s="1022">
        <f>'[3]Segéd összesen'!M42</f>
        <v>5610000</v>
      </c>
      <c r="J54" s="1022"/>
      <c r="K54" s="1024">
        <f t="shared" si="5"/>
        <v>5610000</v>
      </c>
    </row>
    <row r="55" spans="1:11" ht="15">
      <c r="A55" s="1020" t="s">
        <v>1389</v>
      </c>
      <c r="B55" s="1021" t="s">
        <v>1213</v>
      </c>
      <c r="C55" s="1022">
        <f>'[3]Összesítő kerekített'!C57</f>
        <v>455.3333333333333</v>
      </c>
      <c r="D55" s="1022">
        <v>318000</v>
      </c>
      <c r="E55" s="1023">
        <v>1</v>
      </c>
      <c r="F55" s="1023">
        <f t="shared" si="6"/>
        <v>318000</v>
      </c>
      <c r="G55" s="1022"/>
      <c r="H55" s="1023">
        <f t="shared" si="4"/>
        <v>0</v>
      </c>
      <c r="I55" s="1022">
        <f>F55*C55</f>
        <v>144796000</v>
      </c>
      <c r="J55" s="1022"/>
      <c r="K55" s="1024">
        <f t="shared" si="5"/>
        <v>144796000</v>
      </c>
    </row>
    <row r="56" spans="1:11" ht="30">
      <c r="A56" s="1020" t="s">
        <v>1214</v>
      </c>
      <c r="B56" s="1021" t="s">
        <v>371</v>
      </c>
      <c r="C56" s="1022">
        <f>'[3]Összesítő kerekített'!C58</f>
        <v>94</v>
      </c>
      <c r="D56" s="1022">
        <v>730000</v>
      </c>
      <c r="E56" s="1023">
        <v>1</v>
      </c>
      <c r="F56" s="1023">
        <f t="shared" si="6"/>
        <v>730000</v>
      </c>
      <c r="G56" s="1022"/>
      <c r="H56" s="1023">
        <f t="shared" si="4"/>
        <v>0</v>
      </c>
      <c r="I56" s="1022">
        <f>F56*C56</f>
        <v>68620000</v>
      </c>
      <c r="J56" s="1022"/>
      <c r="K56" s="1024">
        <f t="shared" si="5"/>
        <v>68620000</v>
      </c>
    </row>
    <row r="57" spans="1:11" ht="15">
      <c r="A57" s="1028" t="s">
        <v>1390</v>
      </c>
      <c r="B57" s="1030" t="s">
        <v>1215</v>
      </c>
      <c r="C57" s="1022">
        <f>'[3]Összesítő kerekített'!C59</f>
        <v>750</v>
      </c>
      <c r="D57" s="1022">
        <v>2550000</v>
      </c>
      <c r="E57" s="1023">
        <v>1</v>
      </c>
      <c r="F57" s="1023">
        <f t="shared" si="6"/>
        <v>2550000</v>
      </c>
      <c r="G57" s="1022"/>
      <c r="H57" s="1023">
        <f t="shared" si="4"/>
        <v>0</v>
      </c>
      <c r="I57" s="1022">
        <f>'[3]Segéd összesen'!M43</f>
        <v>33150000</v>
      </c>
      <c r="J57" s="1022"/>
      <c r="K57" s="1024">
        <f t="shared" si="5"/>
        <v>33150000</v>
      </c>
    </row>
    <row r="58" spans="1:11" ht="15">
      <c r="A58" s="1020" t="s">
        <v>380</v>
      </c>
      <c r="B58" s="1021" t="s">
        <v>381</v>
      </c>
      <c r="C58" s="1022">
        <f>'[3]Összesítő kerekített'!C60</f>
        <v>964.6666666666666</v>
      </c>
      <c r="D58" s="1022">
        <v>23000</v>
      </c>
      <c r="E58" s="1023">
        <v>1</v>
      </c>
      <c r="F58" s="1023">
        <f t="shared" si="6"/>
        <v>23000</v>
      </c>
      <c r="G58" s="1022"/>
      <c r="H58" s="1023">
        <f t="shared" si="4"/>
        <v>0</v>
      </c>
      <c r="I58" s="1022">
        <f>F58*C58</f>
        <v>22187333.333333332</v>
      </c>
      <c r="J58" s="1022"/>
      <c r="K58" s="1024">
        <f t="shared" si="5"/>
        <v>22187333.333333332</v>
      </c>
    </row>
    <row r="59" spans="1:11" ht="15">
      <c r="A59" s="1020" t="s">
        <v>1216</v>
      </c>
      <c r="B59" s="1021" t="s">
        <v>383</v>
      </c>
      <c r="C59" s="1022">
        <f>'[3]Összesítő kerekített'!C61</f>
        <v>694</v>
      </c>
      <c r="D59" s="1022">
        <v>32200</v>
      </c>
      <c r="E59" s="1023">
        <v>1</v>
      </c>
      <c r="F59" s="1023">
        <f t="shared" si="6"/>
        <v>32200</v>
      </c>
      <c r="G59" s="1022"/>
      <c r="H59" s="1023">
        <f t="shared" si="4"/>
        <v>0</v>
      </c>
      <c r="I59" s="1022">
        <f>F59*C59</f>
        <v>22346800</v>
      </c>
      <c r="J59" s="1022"/>
      <c r="K59" s="1024">
        <f t="shared" si="5"/>
        <v>22346800</v>
      </c>
    </row>
    <row r="60" spans="1:11" ht="15">
      <c r="A60" s="1028" t="s">
        <v>1217</v>
      </c>
      <c r="B60" s="1031" t="s">
        <v>1218</v>
      </c>
      <c r="C60" s="1022">
        <f>'[3]Összesítő kerekített'!C62</f>
        <v>505</v>
      </c>
      <c r="D60" s="1022">
        <v>2550000</v>
      </c>
      <c r="E60" s="1023">
        <v>1</v>
      </c>
      <c r="F60" s="1023">
        <f t="shared" si="6"/>
        <v>2550000</v>
      </c>
      <c r="G60" s="1022"/>
      <c r="H60" s="1023">
        <f t="shared" si="4"/>
        <v>0</v>
      </c>
      <c r="I60" s="1022">
        <f>'[3]Segéd összesen'!M44</f>
        <v>4080000</v>
      </c>
      <c r="J60" s="1022"/>
      <c r="K60" s="1024">
        <f t="shared" si="5"/>
        <v>4080000</v>
      </c>
    </row>
    <row r="61" spans="1:11" ht="15">
      <c r="A61" s="1028" t="s">
        <v>1392</v>
      </c>
      <c r="B61" s="1031" t="s">
        <v>1219</v>
      </c>
      <c r="C61" s="1022">
        <f>'[3]Összesítő kerekített'!C63</f>
        <v>248</v>
      </c>
      <c r="D61" s="1022">
        <v>2550000</v>
      </c>
      <c r="E61" s="1023">
        <v>1</v>
      </c>
      <c r="F61" s="1023">
        <f t="shared" si="6"/>
        <v>2550000</v>
      </c>
      <c r="G61" s="1022"/>
      <c r="H61" s="1023">
        <f t="shared" si="4"/>
        <v>0</v>
      </c>
      <c r="I61" s="1022">
        <f>'[3]Segéd összesen'!M45</f>
        <v>1360000</v>
      </c>
      <c r="J61" s="1022"/>
      <c r="K61" s="1024">
        <f t="shared" si="5"/>
        <v>1360000</v>
      </c>
    </row>
    <row r="62" spans="1:11" ht="15">
      <c r="A62" s="1028" t="s">
        <v>1220</v>
      </c>
      <c r="B62" s="1031" t="s">
        <v>1221</v>
      </c>
      <c r="C62" s="1022">
        <f>'[3]Összesítő kerekített'!C64</f>
        <v>624</v>
      </c>
      <c r="D62" s="1022">
        <v>2550000</v>
      </c>
      <c r="E62" s="1023">
        <v>1</v>
      </c>
      <c r="F62" s="1023">
        <f t="shared" si="6"/>
        <v>2550000</v>
      </c>
      <c r="G62" s="1022"/>
      <c r="H62" s="1023">
        <f t="shared" si="4"/>
        <v>0</v>
      </c>
      <c r="I62" s="1022">
        <f>'[3]Segéd összesen'!M46</f>
        <v>6799999.571428572</v>
      </c>
      <c r="J62" s="1022"/>
      <c r="K62" s="1024">
        <f t="shared" si="5"/>
        <v>6799999.571428572</v>
      </c>
    </row>
    <row r="63" spans="1:11" ht="15">
      <c r="A63" s="1028" t="s">
        <v>1222</v>
      </c>
      <c r="B63" s="1031" t="s">
        <v>1223</v>
      </c>
      <c r="C63" s="1022">
        <f>'[3]Összesítő kerekített'!C65</f>
        <v>171</v>
      </c>
      <c r="D63" s="1022">
        <v>2550000</v>
      </c>
      <c r="E63" s="1023">
        <v>1</v>
      </c>
      <c r="F63" s="1023">
        <f t="shared" si="6"/>
        <v>2550000</v>
      </c>
      <c r="G63" s="1022"/>
      <c r="H63" s="1023">
        <f t="shared" si="4"/>
        <v>0</v>
      </c>
      <c r="I63" s="1022">
        <f>'[3]Segéd összesen'!M47</f>
        <v>2295000</v>
      </c>
      <c r="J63" s="1022"/>
      <c r="K63" s="1024">
        <f t="shared" si="5"/>
        <v>2295000</v>
      </c>
    </row>
    <row r="64" spans="1:11" ht="15">
      <c r="A64" s="1028" t="s">
        <v>1224</v>
      </c>
      <c r="B64" s="1031" t="s">
        <v>1225</v>
      </c>
      <c r="C64" s="1022">
        <f>'[3]Összesítő kerekített'!C66</f>
        <v>205</v>
      </c>
      <c r="D64" s="1022">
        <v>2550000</v>
      </c>
      <c r="E64" s="1023">
        <v>1</v>
      </c>
      <c r="F64" s="1023">
        <f t="shared" si="6"/>
        <v>2550000</v>
      </c>
      <c r="G64" s="1022"/>
      <c r="H64" s="1023">
        <f t="shared" si="4"/>
        <v>0</v>
      </c>
      <c r="I64" s="1022">
        <f>'[3]Segéd összesen'!M48</f>
        <v>2975000</v>
      </c>
      <c r="J64" s="1022"/>
      <c r="K64" s="1024">
        <f t="shared" si="5"/>
        <v>2975000</v>
      </c>
    </row>
    <row r="65" spans="1:11" ht="15">
      <c r="A65" s="1025" t="s">
        <v>313</v>
      </c>
      <c r="B65" s="1021" t="s">
        <v>314</v>
      </c>
      <c r="C65" s="1022">
        <f>'[3]Összesítő kerekített'!C67</f>
        <v>0</v>
      </c>
      <c r="D65" s="1022"/>
      <c r="E65" s="1023">
        <v>1</v>
      </c>
      <c r="F65" s="1023">
        <f t="shared" si="6"/>
        <v>0</v>
      </c>
      <c r="G65" s="1022"/>
      <c r="H65" s="1023">
        <f t="shared" si="4"/>
        <v>0</v>
      </c>
      <c r="I65" s="1022"/>
      <c r="J65" s="1022"/>
      <c r="K65" s="1024">
        <f t="shared" si="5"/>
        <v>0</v>
      </c>
    </row>
    <row r="66" spans="1:11" ht="15">
      <c r="A66" s="1025" t="s">
        <v>315</v>
      </c>
      <c r="B66" s="1021" t="s">
        <v>316</v>
      </c>
      <c r="C66" s="1022">
        <f>'[3]Összesítő kerekített'!C68</f>
        <v>0</v>
      </c>
      <c r="D66" s="1022"/>
      <c r="E66" s="1023">
        <v>1</v>
      </c>
      <c r="F66" s="1023">
        <f t="shared" si="6"/>
        <v>0</v>
      </c>
      <c r="G66" s="1022"/>
      <c r="H66" s="1023">
        <f t="shared" si="4"/>
        <v>0</v>
      </c>
      <c r="I66" s="1022"/>
      <c r="J66" s="1022"/>
      <c r="K66" s="1024">
        <f t="shared" si="5"/>
        <v>0</v>
      </c>
    </row>
    <row r="67" spans="1:11" ht="15">
      <c r="A67" s="1020" t="s">
        <v>1393</v>
      </c>
      <c r="B67" s="1021" t="s">
        <v>318</v>
      </c>
      <c r="C67" s="1022">
        <f>'[3]Összesítő kerekített'!C69</f>
        <v>929.3333333333333</v>
      </c>
      <c r="D67" s="1022">
        <v>40000</v>
      </c>
      <c r="E67" s="1023">
        <v>1</v>
      </c>
      <c r="F67" s="1023">
        <f t="shared" si="6"/>
        <v>40000</v>
      </c>
      <c r="G67" s="1022"/>
      <c r="H67" s="1023">
        <f t="shared" si="4"/>
        <v>0</v>
      </c>
      <c r="I67" s="1022">
        <f>F67*C67</f>
        <v>37173333.33333333</v>
      </c>
      <c r="J67" s="1022"/>
      <c r="K67" s="1024">
        <f t="shared" si="5"/>
        <v>37173333.33333333</v>
      </c>
    </row>
    <row r="68" spans="1:11" ht="15">
      <c r="A68" s="1025" t="s">
        <v>319</v>
      </c>
      <c r="B68" s="1021" t="s">
        <v>320</v>
      </c>
      <c r="C68" s="1022">
        <f>'[3]Összesítő kerekített'!C70</f>
        <v>0</v>
      </c>
      <c r="D68" s="1022"/>
      <c r="E68" s="1023">
        <v>1</v>
      </c>
      <c r="F68" s="1023">
        <f t="shared" si="6"/>
        <v>0</v>
      </c>
      <c r="G68" s="1022"/>
      <c r="H68" s="1023">
        <f t="shared" si="4"/>
        <v>0</v>
      </c>
      <c r="I68" s="1022"/>
      <c r="J68" s="1022"/>
      <c r="K68" s="1024">
        <f t="shared" si="5"/>
        <v>0</v>
      </c>
    </row>
    <row r="69" spans="1:11" ht="18.75" customHeight="1">
      <c r="A69" s="1020" t="s">
        <v>321</v>
      </c>
      <c r="B69" s="1021" t="s">
        <v>322</v>
      </c>
      <c r="C69" s="1022">
        <f>'[3]Összesítő kerekített'!C71</f>
        <v>154</v>
      </c>
      <c r="D69" s="1022">
        <v>112000</v>
      </c>
      <c r="E69" s="1023">
        <v>1</v>
      </c>
      <c r="F69" s="1023">
        <f t="shared" si="6"/>
        <v>112000</v>
      </c>
      <c r="G69" s="1022"/>
      <c r="H69" s="1023">
        <f t="shared" si="4"/>
        <v>0</v>
      </c>
      <c r="I69" s="1022">
        <f>F69*C69</f>
        <v>17248000</v>
      </c>
      <c r="J69" s="1022"/>
      <c r="K69" s="1024">
        <f t="shared" si="5"/>
        <v>17248000</v>
      </c>
    </row>
    <row r="70" spans="1:11" ht="15">
      <c r="A70" s="1020" t="s">
        <v>323</v>
      </c>
      <c r="B70" s="1021" t="s">
        <v>324</v>
      </c>
      <c r="C70" s="1022">
        <f>'[3]Összesítő kerekített'!C72</f>
        <v>241.66666666666669</v>
      </c>
      <c r="D70" s="1022">
        <v>156800</v>
      </c>
      <c r="E70" s="1023">
        <v>1</v>
      </c>
      <c r="F70" s="1023">
        <f t="shared" si="6"/>
        <v>156800</v>
      </c>
      <c r="G70" s="1022"/>
      <c r="H70" s="1023">
        <f t="shared" si="4"/>
        <v>0</v>
      </c>
      <c r="I70" s="1022">
        <f>F70*C70</f>
        <v>37893333.333333336</v>
      </c>
      <c r="J70" s="1022"/>
      <c r="K70" s="1024">
        <f>SUM(I70:J70)+1</f>
        <v>37893334.333333336</v>
      </c>
    </row>
    <row r="71" spans="1:11" ht="15">
      <c r="A71" s="1020" t="s">
        <v>325</v>
      </c>
      <c r="B71" s="1021" t="s">
        <v>326</v>
      </c>
      <c r="C71" s="1022">
        <f>'[3]Összesítő kerekített'!C73</f>
        <v>207.66666666666666</v>
      </c>
      <c r="D71" s="1022">
        <v>67200</v>
      </c>
      <c r="E71" s="1023">
        <v>1</v>
      </c>
      <c r="F71" s="1023">
        <f t="shared" si="6"/>
        <v>67200</v>
      </c>
      <c r="G71" s="1022"/>
      <c r="H71" s="1023">
        <f t="shared" si="4"/>
        <v>0</v>
      </c>
      <c r="I71" s="1022">
        <f>F71*C71</f>
        <v>13955200</v>
      </c>
      <c r="J71" s="1022"/>
      <c r="K71" s="1024">
        <f aca="true" t="shared" si="7" ref="K71:K83">SUM(I71:J71)</f>
        <v>13955200</v>
      </c>
    </row>
    <row r="72" spans="1:11" ht="30">
      <c r="A72" s="1020" t="s">
        <v>327</v>
      </c>
      <c r="B72" s="1021" t="s">
        <v>328</v>
      </c>
      <c r="C72" s="1022">
        <f>'[3]Összesítő kerekített'!C74</f>
        <v>891.3333333333333</v>
      </c>
      <c r="D72" s="1022">
        <v>22400</v>
      </c>
      <c r="E72" s="1023">
        <v>1</v>
      </c>
      <c r="F72" s="1023">
        <f t="shared" si="6"/>
        <v>22400</v>
      </c>
      <c r="G72" s="1022"/>
      <c r="H72" s="1023">
        <f aca="true" t="shared" si="8" ref="H72:H96">G72*D72</f>
        <v>0</v>
      </c>
      <c r="I72" s="1022">
        <f>F72*C72</f>
        <v>19965866.666666664</v>
      </c>
      <c r="J72" s="1022"/>
      <c r="K72" s="1024">
        <f t="shared" si="7"/>
        <v>19965866.666666664</v>
      </c>
    </row>
    <row r="73" spans="1:11" ht="15">
      <c r="A73" s="1025" t="s">
        <v>1226</v>
      </c>
      <c r="B73" s="1021" t="s">
        <v>372</v>
      </c>
      <c r="C73" s="1022">
        <f>'[3]Összesítő kerekített'!C75</f>
        <v>0</v>
      </c>
      <c r="D73" s="1022"/>
      <c r="E73" s="1023">
        <v>1</v>
      </c>
      <c r="F73" s="1023">
        <f t="shared" si="6"/>
        <v>0</v>
      </c>
      <c r="G73" s="1022"/>
      <c r="H73" s="1023">
        <f t="shared" si="8"/>
        <v>0</v>
      </c>
      <c r="I73" s="1022"/>
      <c r="J73" s="1022"/>
      <c r="K73" s="1024">
        <f t="shared" si="7"/>
        <v>0</v>
      </c>
    </row>
    <row r="74" spans="1:11" ht="45">
      <c r="A74" s="1020" t="s">
        <v>1391</v>
      </c>
      <c r="B74" s="1021" t="s">
        <v>373</v>
      </c>
      <c r="C74" s="1022">
        <f>'[3]Összesítő kerekített'!C76</f>
        <v>30</v>
      </c>
      <c r="D74" s="1022">
        <v>240000</v>
      </c>
      <c r="E74" s="1023">
        <v>1</v>
      </c>
      <c r="F74" s="1023">
        <f t="shared" si="6"/>
        <v>240000</v>
      </c>
      <c r="G74" s="1022"/>
      <c r="H74" s="1023">
        <f t="shared" si="8"/>
        <v>0</v>
      </c>
      <c r="I74" s="1022">
        <f aca="true" t="shared" si="9" ref="I74:I80">F74*C74</f>
        <v>7200000</v>
      </c>
      <c r="J74" s="1022"/>
      <c r="K74" s="1024">
        <f t="shared" si="7"/>
        <v>7200000</v>
      </c>
    </row>
    <row r="75" spans="1:11" ht="45">
      <c r="A75" s="1020" t="s">
        <v>341</v>
      </c>
      <c r="B75" s="1021" t="s">
        <v>374</v>
      </c>
      <c r="C75" s="1022">
        <f>'[3]Összesítő kerekített'!C77</f>
        <v>86.66666666666667</v>
      </c>
      <c r="D75" s="1022">
        <v>384000</v>
      </c>
      <c r="E75" s="1023">
        <v>1</v>
      </c>
      <c r="F75" s="1023">
        <f t="shared" si="6"/>
        <v>384000</v>
      </c>
      <c r="G75" s="1022"/>
      <c r="H75" s="1023">
        <f t="shared" si="8"/>
        <v>0</v>
      </c>
      <c r="I75" s="1022">
        <f t="shared" si="9"/>
        <v>33280000</v>
      </c>
      <c r="J75" s="1022"/>
      <c r="K75" s="1024">
        <f t="shared" si="7"/>
        <v>33280000</v>
      </c>
    </row>
    <row r="76" spans="1:11" ht="45">
      <c r="A76" s="1020" t="s">
        <v>338</v>
      </c>
      <c r="B76" s="1021" t="s">
        <v>375</v>
      </c>
      <c r="C76" s="1022">
        <f>'[3]Összesítő kerekített'!C78</f>
        <v>640.6666666666666</v>
      </c>
      <c r="D76" s="1022">
        <v>192000</v>
      </c>
      <c r="E76" s="1023">
        <v>1</v>
      </c>
      <c r="F76" s="1023">
        <f t="shared" si="6"/>
        <v>192000</v>
      </c>
      <c r="G76" s="1022"/>
      <c r="H76" s="1023">
        <f t="shared" si="8"/>
        <v>0</v>
      </c>
      <c r="I76" s="1022">
        <f t="shared" si="9"/>
        <v>123008000</v>
      </c>
      <c r="J76" s="1022"/>
      <c r="K76" s="1024">
        <f t="shared" si="7"/>
        <v>123008000</v>
      </c>
    </row>
    <row r="77" spans="1:11" ht="45">
      <c r="A77" s="1020" t="s">
        <v>217</v>
      </c>
      <c r="B77" s="1030" t="s">
        <v>1228</v>
      </c>
      <c r="C77" s="1022">
        <f>'[3]Összesítő kerekített'!C79</f>
        <v>92.66666666666667</v>
      </c>
      <c r="D77" s="1022">
        <v>192000</v>
      </c>
      <c r="E77" s="1023">
        <v>1</v>
      </c>
      <c r="F77" s="1023">
        <f t="shared" si="6"/>
        <v>192000</v>
      </c>
      <c r="G77" s="1022"/>
      <c r="H77" s="1023">
        <f t="shared" si="8"/>
        <v>0</v>
      </c>
      <c r="I77" s="1022">
        <f t="shared" si="9"/>
        <v>17792000</v>
      </c>
      <c r="J77" s="1022"/>
      <c r="K77" s="1024">
        <f t="shared" si="7"/>
        <v>17792000</v>
      </c>
    </row>
    <row r="78" spans="1:11" ht="45">
      <c r="A78" s="1020" t="s">
        <v>1394</v>
      </c>
      <c r="B78" s="1030" t="s">
        <v>1229</v>
      </c>
      <c r="C78" s="1022">
        <f>'[3]Összesítő kerekített'!C80</f>
        <v>162</v>
      </c>
      <c r="D78" s="1022">
        <v>144000</v>
      </c>
      <c r="E78" s="1023">
        <v>1</v>
      </c>
      <c r="F78" s="1023">
        <f t="shared" si="6"/>
        <v>144000</v>
      </c>
      <c r="G78" s="1022"/>
      <c r="H78" s="1023">
        <f t="shared" si="8"/>
        <v>0</v>
      </c>
      <c r="I78" s="1022">
        <f t="shared" si="9"/>
        <v>23328000</v>
      </c>
      <c r="J78" s="1022"/>
      <c r="K78" s="1024">
        <f t="shared" si="7"/>
        <v>23328000</v>
      </c>
    </row>
    <row r="79" spans="1:11" ht="15">
      <c r="A79" s="1020" t="s">
        <v>376</v>
      </c>
      <c r="B79" s="1021" t="s">
        <v>377</v>
      </c>
      <c r="C79" s="1022">
        <f>'[3]Összesítő kerekített'!C81</f>
        <v>17.333333333333332</v>
      </c>
      <c r="D79" s="1022">
        <v>240000</v>
      </c>
      <c r="E79" s="1023">
        <v>1</v>
      </c>
      <c r="F79" s="1023">
        <f t="shared" si="6"/>
        <v>240000</v>
      </c>
      <c r="G79" s="1022"/>
      <c r="H79" s="1023">
        <f t="shared" si="8"/>
        <v>0</v>
      </c>
      <c r="I79" s="1022">
        <f t="shared" si="9"/>
        <v>4159999.9999999995</v>
      </c>
      <c r="J79" s="1022"/>
      <c r="K79" s="1024">
        <f t="shared" si="7"/>
        <v>4159999.9999999995</v>
      </c>
    </row>
    <row r="80" spans="1:11" ht="15">
      <c r="A80" s="1020" t="s">
        <v>378</v>
      </c>
      <c r="B80" s="1021" t="s">
        <v>379</v>
      </c>
      <c r="C80" s="1022">
        <f>'[3]Összesítő kerekített'!C82</f>
        <v>2.3333333333333335</v>
      </c>
      <c r="D80" s="1022">
        <v>325000</v>
      </c>
      <c r="E80" s="1023">
        <v>1</v>
      </c>
      <c r="F80" s="1023">
        <f aca="true" t="shared" si="10" ref="F80:F99">D80*E80</f>
        <v>325000</v>
      </c>
      <c r="G80" s="1022"/>
      <c r="H80" s="1023">
        <f t="shared" si="8"/>
        <v>0</v>
      </c>
      <c r="I80" s="1022">
        <f t="shared" si="9"/>
        <v>758333.3333333334</v>
      </c>
      <c r="J80" s="1022"/>
      <c r="K80" s="1024">
        <f t="shared" si="7"/>
        <v>758333.3333333334</v>
      </c>
    </row>
    <row r="81" spans="1:11" ht="15">
      <c r="A81" s="1025" t="s">
        <v>1403</v>
      </c>
      <c r="B81" s="1021" t="s">
        <v>1404</v>
      </c>
      <c r="C81" s="1022">
        <f>'[3]Összesítő kerekített'!C83</f>
        <v>0</v>
      </c>
      <c r="D81" s="1022"/>
      <c r="E81" s="1023">
        <v>1</v>
      </c>
      <c r="F81" s="1023">
        <f t="shared" si="10"/>
        <v>0</v>
      </c>
      <c r="G81" s="1022"/>
      <c r="H81" s="1023">
        <f t="shared" si="8"/>
        <v>0</v>
      </c>
      <c r="I81" s="1022">
        <f>C81*D81</f>
        <v>0</v>
      </c>
      <c r="J81" s="1022"/>
      <c r="K81" s="1024">
        <f t="shared" si="7"/>
        <v>0</v>
      </c>
    </row>
    <row r="82" spans="1:11" ht="15">
      <c r="A82" s="1020" t="s">
        <v>1499</v>
      </c>
      <c r="B82" s="1021" t="s">
        <v>1230</v>
      </c>
      <c r="C82" s="1022">
        <f>'[3]Összesítő kerekített'!C84</f>
        <v>33</v>
      </c>
      <c r="D82" s="1022">
        <v>45000</v>
      </c>
      <c r="E82" s="1023">
        <v>1</v>
      </c>
      <c r="F82" s="1023">
        <f t="shared" si="10"/>
        <v>45000</v>
      </c>
      <c r="G82" s="1022"/>
      <c r="H82" s="1023">
        <f t="shared" si="8"/>
        <v>0</v>
      </c>
      <c r="I82" s="1022">
        <f>F82*C82</f>
        <v>1485000</v>
      </c>
      <c r="J82" s="1022"/>
      <c r="K82" s="1024">
        <f t="shared" si="7"/>
        <v>1485000</v>
      </c>
    </row>
    <row r="83" spans="1:11" ht="15">
      <c r="A83" s="1020" t="s">
        <v>1500</v>
      </c>
      <c r="B83" s="1021" t="s">
        <v>1231</v>
      </c>
      <c r="C83" s="1022">
        <f>'[3]Összesítő kerekített'!C85</f>
        <v>283.66666666666663</v>
      </c>
      <c r="D83" s="1022">
        <v>71500</v>
      </c>
      <c r="E83" s="1023">
        <v>1</v>
      </c>
      <c r="F83" s="1023">
        <f t="shared" si="10"/>
        <v>71500</v>
      </c>
      <c r="G83" s="1022"/>
      <c r="H83" s="1023">
        <f t="shared" si="8"/>
        <v>0</v>
      </c>
      <c r="I83" s="1022">
        <f>F83*C83</f>
        <v>20282166.666666664</v>
      </c>
      <c r="J83" s="1022"/>
      <c r="K83" s="1024">
        <f t="shared" si="7"/>
        <v>20282166.666666664</v>
      </c>
    </row>
    <row r="84" spans="1:11" ht="15">
      <c r="A84" s="1020" t="s">
        <v>1501</v>
      </c>
      <c r="B84" s="1021" t="s">
        <v>1232</v>
      </c>
      <c r="C84" s="1022">
        <f>'[3]Összesítő kerekített'!C86</f>
        <v>69.66666666666667</v>
      </c>
      <c r="D84" s="1022">
        <v>71500</v>
      </c>
      <c r="E84" s="1023">
        <v>1</v>
      </c>
      <c r="F84" s="1023">
        <f t="shared" si="10"/>
        <v>71500</v>
      </c>
      <c r="G84" s="1022"/>
      <c r="H84" s="1023">
        <f t="shared" si="8"/>
        <v>0</v>
      </c>
      <c r="I84" s="1022">
        <f>F84*C84</f>
        <v>4981166.666666667</v>
      </c>
      <c r="J84" s="1022"/>
      <c r="K84" s="1024">
        <f>SUM(I84:J84)-1</f>
        <v>4981165.666666667</v>
      </c>
    </row>
    <row r="85" spans="1:11" ht="15">
      <c r="A85" s="1025" t="s">
        <v>1502</v>
      </c>
      <c r="B85" s="1021" t="s">
        <v>1503</v>
      </c>
      <c r="C85" s="1022">
        <f>'[3]Összesítő kerekített'!C87</f>
        <v>0</v>
      </c>
      <c r="D85" s="1022"/>
      <c r="E85" s="1023">
        <v>1</v>
      </c>
      <c r="F85" s="1023">
        <f t="shared" si="10"/>
        <v>0</v>
      </c>
      <c r="G85" s="1022"/>
      <c r="H85" s="1023">
        <f t="shared" si="8"/>
        <v>0</v>
      </c>
      <c r="I85" s="1022">
        <f>C85*D85</f>
        <v>0</v>
      </c>
      <c r="J85" s="1022"/>
      <c r="K85" s="1024">
        <f aca="true" t="shared" si="11" ref="K85:K99">SUM(I85:J85)</f>
        <v>0</v>
      </c>
    </row>
    <row r="86" spans="1:11" ht="15">
      <c r="A86" s="1020" t="s">
        <v>339</v>
      </c>
      <c r="B86" s="1021" t="s">
        <v>1504</v>
      </c>
      <c r="C86" s="1022">
        <f>'[3]Összesítő kerekített'!C88</f>
        <v>94</v>
      </c>
      <c r="D86" s="1022">
        <v>240000</v>
      </c>
      <c r="E86" s="1023">
        <v>1</v>
      </c>
      <c r="F86" s="1023">
        <f t="shared" si="10"/>
        <v>240000</v>
      </c>
      <c r="G86" s="1022"/>
      <c r="H86" s="1023">
        <f t="shared" si="8"/>
        <v>0</v>
      </c>
      <c r="I86" s="1022">
        <f>F86*C86</f>
        <v>22560000</v>
      </c>
      <c r="J86" s="1022"/>
      <c r="K86" s="1024">
        <f t="shared" si="11"/>
        <v>22560000</v>
      </c>
    </row>
    <row r="87" spans="1:11" ht="19.5" customHeight="1">
      <c r="A87" s="1020" t="s">
        <v>340</v>
      </c>
      <c r="B87" s="1021" t="s">
        <v>1233</v>
      </c>
      <c r="C87" s="1022">
        <f>'[3]Összesítő kerekített'!C89</f>
        <v>47.333333333333336</v>
      </c>
      <c r="D87" s="1022">
        <v>360000</v>
      </c>
      <c r="E87" s="1023">
        <v>1</v>
      </c>
      <c r="F87" s="1023">
        <f t="shared" si="10"/>
        <v>360000</v>
      </c>
      <c r="G87" s="1022"/>
      <c r="H87" s="1023">
        <f t="shared" si="8"/>
        <v>0</v>
      </c>
      <c r="I87" s="1022">
        <f>F87*C87</f>
        <v>17040000</v>
      </c>
      <c r="J87" s="1022"/>
      <c r="K87" s="1024">
        <f t="shared" si="11"/>
        <v>17040000</v>
      </c>
    </row>
    <row r="88" spans="1:11" ht="30">
      <c r="A88" s="1020" t="s">
        <v>1234</v>
      </c>
      <c r="B88" s="1021" t="s">
        <v>1235</v>
      </c>
      <c r="C88" s="1022">
        <f>'[3]Összesítő kerekített'!C90</f>
        <v>47.333333333333336</v>
      </c>
      <c r="D88" s="1022">
        <v>480000</v>
      </c>
      <c r="E88" s="1023">
        <v>1</v>
      </c>
      <c r="F88" s="1023">
        <f t="shared" si="10"/>
        <v>480000</v>
      </c>
      <c r="G88" s="1022"/>
      <c r="H88" s="1023">
        <f t="shared" si="8"/>
        <v>0</v>
      </c>
      <c r="I88" s="1022">
        <f>F88*C88</f>
        <v>22720000</v>
      </c>
      <c r="J88" s="1022"/>
      <c r="K88" s="1024">
        <f t="shared" si="11"/>
        <v>22720000</v>
      </c>
    </row>
    <row r="89" spans="1:11" ht="30">
      <c r="A89" s="1032" t="s">
        <v>1236</v>
      </c>
      <c r="B89" s="1021" t="s">
        <v>1237</v>
      </c>
      <c r="C89" s="1022">
        <f>'[3]Összesítő kerekített'!C91</f>
        <v>134.33333333333334</v>
      </c>
      <c r="D89" s="1022">
        <v>51000</v>
      </c>
      <c r="E89" s="1023">
        <v>1</v>
      </c>
      <c r="F89" s="1023">
        <f t="shared" si="10"/>
        <v>51000</v>
      </c>
      <c r="G89" s="1022"/>
      <c r="H89" s="1023">
        <f t="shared" si="8"/>
        <v>0</v>
      </c>
      <c r="I89" s="1022">
        <f>F89*C89</f>
        <v>6851000.000000001</v>
      </c>
      <c r="J89" s="1022"/>
      <c r="K89" s="1024">
        <f t="shared" si="11"/>
        <v>6851000.000000001</v>
      </c>
    </row>
    <row r="90" spans="1:11" ht="36.75" customHeight="1">
      <c r="A90" s="1032" t="s">
        <v>215</v>
      </c>
      <c r="B90" s="1021" t="s">
        <v>1238</v>
      </c>
      <c r="C90" s="1022">
        <f>'[3]Összesítő kerekített'!C92</f>
        <v>166</v>
      </c>
      <c r="D90" s="1022">
        <v>20000</v>
      </c>
      <c r="E90" s="1023">
        <v>1</v>
      </c>
      <c r="F90" s="1023">
        <f t="shared" si="10"/>
        <v>20000</v>
      </c>
      <c r="G90" s="1022"/>
      <c r="H90" s="1023">
        <f t="shared" si="8"/>
        <v>0</v>
      </c>
      <c r="I90" s="1022">
        <f>F90*C90</f>
        <v>3320000</v>
      </c>
      <c r="J90" s="1022"/>
      <c r="K90" s="1024">
        <f t="shared" si="11"/>
        <v>3320000</v>
      </c>
    </row>
    <row r="91" spans="1:11" ht="28.5">
      <c r="A91" s="1025" t="s">
        <v>389</v>
      </c>
      <c r="B91" s="1021" t="s">
        <v>1505</v>
      </c>
      <c r="C91" s="1022">
        <f>'[3]Összesítő kerekített'!C93</f>
        <v>0</v>
      </c>
      <c r="D91" s="1022"/>
      <c r="E91" s="1023">
        <v>1</v>
      </c>
      <c r="F91" s="1023">
        <f t="shared" si="10"/>
        <v>0</v>
      </c>
      <c r="G91" s="1022"/>
      <c r="H91" s="1023">
        <f t="shared" si="8"/>
        <v>0</v>
      </c>
      <c r="I91" s="1022">
        <f>C91*D91</f>
        <v>0</v>
      </c>
      <c r="J91" s="1022"/>
      <c r="K91" s="1024">
        <f t="shared" si="11"/>
        <v>0</v>
      </c>
    </row>
    <row r="92" spans="1:11" ht="15">
      <c r="A92" s="1020" t="s">
        <v>342</v>
      </c>
      <c r="B92" s="1030" t="s">
        <v>1239</v>
      </c>
      <c r="C92" s="1022">
        <f>'[3]Összesítő kerekített'!C94</f>
        <v>2215.3333333333335</v>
      </c>
      <c r="D92" s="1022">
        <v>15000</v>
      </c>
      <c r="E92" s="1023">
        <v>1</v>
      </c>
      <c r="F92" s="1023">
        <f t="shared" si="10"/>
        <v>15000</v>
      </c>
      <c r="G92" s="1022"/>
      <c r="H92" s="1023">
        <f t="shared" si="8"/>
        <v>0</v>
      </c>
      <c r="I92" s="1022">
        <f>F92*C92</f>
        <v>33230000.000000004</v>
      </c>
      <c r="J92" s="1022"/>
      <c r="K92" s="1024">
        <f t="shared" si="11"/>
        <v>33230000.000000004</v>
      </c>
    </row>
    <row r="93" spans="1:11" ht="15">
      <c r="A93" s="1020" t="s">
        <v>343</v>
      </c>
      <c r="B93" s="1030" t="s">
        <v>1240</v>
      </c>
      <c r="C93" s="1022">
        <f>'[3]Összesítő kerekített'!C95</f>
        <v>1079</v>
      </c>
      <c r="D93" s="1022">
        <v>18000</v>
      </c>
      <c r="E93" s="1023">
        <v>1</v>
      </c>
      <c r="F93" s="1023">
        <f t="shared" si="10"/>
        <v>18000</v>
      </c>
      <c r="G93" s="1022"/>
      <c r="H93" s="1023">
        <f t="shared" si="8"/>
        <v>0</v>
      </c>
      <c r="I93" s="1022">
        <f>F93*C93</f>
        <v>19422000</v>
      </c>
      <c r="J93" s="1022"/>
      <c r="K93" s="1024">
        <f t="shared" si="11"/>
        <v>19422000</v>
      </c>
    </row>
    <row r="94" spans="1:11" ht="15">
      <c r="A94" s="1025" t="s">
        <v>1506</v>
      </c>
      <c r="B94" s="1021" t="s">
        <v>1507</v>
      </c>
      <c r="C94" s="1022">
        <f>'[3]Összesítő kerekített'!C96</f>
        <v>0</v>
      </c>
      <c r="D94" s="1022"/>
      <c r="E94" s="1023">
        <v>1</v>
      </c>
      <c r="F94" s="1023">
        <f t="shared" si="10"/>
        <v>0</v>
      </c>
      <c r="G94" s="1022"/>
      <c r="H94" s="1023">
        <f t="shared" si="8"/>
        <v>0</v>
      </c>
      <c r="I94" s="1022">
        <f>C94*D94</f>
        <v>0</v>
      </c>
      <c r="J94" s="1022"/>
      <c r="K94" s="1024">
        <f t="shared" si="11"/>
        <v>0</v>
      </c>
    </row>
    <row r="95" spans="1:11" ht="15">
      <c r="A95" s="1020" t="s">
        <v>1508</v>
      </c>
      <c r="B95" s="1021" t="s">
        <v>1241</v>
      </c>
      <c r="C95" s="1022">
        <f>'[3]Összesítő kerekített'!C97</f>
        <v>3477</v>
      </c>
      <c r="D95" s="1022">
        <v>55000</v>
      </c>
      <c r="E95" s="1023">
        <v>1</v>
      </c>
      <c r="F95" s="1023">
        <f t="shared" si="10"/>
        <v>55000</v>
      </c>
      <c r="G95" s="1022"/>
      <c r="H95" s="1023">
        <f t="shared" si="8"/>
        <v>0</v>
      </c>
      <c r="I95" s="1022">
        <f>F95*C95</f>
        <v>191235000</v>
      </c>
      <c r="J95" s="1022"/>
      <c r="K95" s="1024">
        <f t="shared" si="11"/>
        <v>191235000</v>
      </c>
    </row>
    <row r="96" spans="1:11" ht="30">
      <c r="A96" s="1020" t="s">
        <v>586</v>
      </c>
      <c r="B96" s="1021" t="s">
        <v>1242</v>
      </c>
      <c r="C96" s="1022">
        <f>'[3]Összesítő kerekített'!C98</f>
        <v>129</v>
      </c>
      <c r="D96" s="1022">
        <v>16000</v>
      </c>
      <c r="E96" s="1023">
        <v>1</v>
      </c>
      <c r="F96" s="1023">
        <f t="shared" si="10"/>
        <v>16000</v>
      </c>
      <c r="G96" s="1022"/>
      <c r="H96" s="1023">
        <f t="shared" si="8"/>
        <v>0</v>
      </c>
      <c r="I96" s="1022">
        <f>F96*C96</f>
        <v>2064000</v>
      </c>
      <c r="J96" s="1022"/>
      <c r="K96" s="1024">
        <f t="shared" si="11"/>
        <v>2064000</v>
      </c>
    </row>
    <row r="97" spans="1:11" ht="15">
      <c r="A97" s="1020" t="s">
        <v>1509</v>
      </c>
      <c r="B97" s="1030" t="s">
        <v>1243</v>
      </c>
      <c r="C97" s="1022">
        <f>'[3]Összesítő kerekített'!C99</f>
        <v>4488</v>
      </c>
      <c r="D97" s="1022">
        <v>10000</v>
      </c>
      <c r="E97" s="1023">
        <v>1</v>
      </c>
      <c r="F97" s="1023">
        <f t="shared" si="10"/>
        <v>10000</v>
      </c>
      <c r="G97" s="1022"/>
      <c r="H97" s="1023">
        <f>F97*G97</f>
        <v>0</v>
      </c>
      <c r="I97" s="1022">
        <f>F97*C97</f>
        <v>44880000</v>
      </c>
      <c r="J97" s="1022"/>
      <c r="K97" s="1024">
        <f t="shared" si="11"/>
        <v>44880000</v>
      </c>
    </row>
    <row r="98" spans="1:11" ht="15">
      <c r="A98" s="1020" t="s">
        <v>1244</v>
      </c>
      <c r="B98" s="1030" t="s">
        <v>1245</v>
      </c>
      <c r="C98" s="1022">
        <f>'[3]Összesítő kerekített'!C100</f>
        <v>13484</v>
      </c>
      <c r="D98" s="1022">
        <v>1000</v>
      </c>
      <c r="E98" s="1023">
        <v>1</v>
      </c>
      <c r="F98" s="1023">
        <f t="shared" si="10"/>
        <v>1000</v>
      </c>
      <c r="G98" s="1022"/>
      <c r="H98" s="1023">
        <f>G98*D98</f>
        <v>0</v>
      </c>
      <c r="I98" s="1022">
        <f>F98*C98</f>
        <v>13484000</v>
      </c>
      <c r="J98" s="1022"/>
      <c r="K98" s="1024">
        <f t="shared" si="11"/>
        <v>13484000</v>
      </c>
    </row>
    <row r="99" spans="1:11" ht="15">
      <c r="A99" s="1033" t="s">
        <v>598</v>
      </c>
      <c r="B99" s="1034" t="s">
        <v>1246</v>
      </c>
      <c r="C99" s="1035">
        <f>'[3]Összesítő kerekített'!C101</f>
        <v>250</v>
      </c>
      <c r="D99" s="1036">
        <v>186000</v>
      </c>
      <c r="E99" s="1037">
        <v>1</v>
      </c>
      <c r="F99" s="1037">
        <f t="shared" si="10"/>
        <v>186000</v>
      </c>
      <c r="G99" s="1036"/>
      <c r="H99" s="1037">
        <f>G99*D99</f>
        <v>0</v>
      </c>
      <c r="I99" s="1035">
        <f>F99*C99</f>
        <v>46500000</v>
      </c>
      <c r="J99" s="1035"/>
      <c r="K99" s="1038">
        <f t="shared" si="11"/>
        <v>46500000</v>
      </c>
    </row>
    <row r="100" spans="1:11" ht="15">
      <c r="A100" s="1440" t="s">
        <v>1511</v>
      </c>
      <c r="B100" s="1441"/>
      <c r="C100" s="1441"/>
      <c r="D100" s="1441"/>
      <c r="E100" s="1039"/>
      <c r="F100" s="1039"/>
      <c r="G100" s="1039"/>
      <c r="H100" s="1039"/>
      <c r="I100" s="1040">
        <f>SUM(I7:I99)</f>
        <v>5626341234.792045</v>
      </c>
      <c r="J100" s="1040"/>
      <c r="K100" s="1041">
        <f>SUM(K7:K99)</f>
        <v>5626341234.792045</v>
      </c>
    </row>
    <row r="101" spans="1:11" ht="15">
      <c r="A101" s="1042"/>
      <c r="B101" s="1043"/>
      <c r="C101" s="1044"/>
      <c r="D101" s="1044"/>
      <c r="E101" s="1044"/>
      <c r="F101" s="1044"/>
      <c r="G101" s="1044"/>
      <c r="H101" s="1044"/>
      <c r="I101" s="1044"/>
      <c r="J101" s="1044"/>
      <c r="K101" s="1044"/>
    </row>
    <row r="102" spans="1:11" ht="21" customHeight="1">
      <c r="A102" s="1437" t="s">
        <v>1512</v>
      </c>
      <c r="B102" s="1438"/>
      <c r="C102" s="1438"/>
      <c r="D102" s="1438"/>
      <c r="E102" s="1438"/>
      <c r="F102" s="1438"/>
      <c r="G102" s="1438"/>
      <c r="H102" s="1438"/>
      <c r="I102" s="1438"/>
      <c r="J102" s="1438"/>
      <c r="K102" s="1439"/>
    </row>
    <row r="103" spans="1:11" ht="15.75" customHeight="1">
      <c r="A103" s="1020" t="s">
        <v>1513</v>
      </c>
      <c r="B103" s="1021" t="s">
        <v>1514</v>
      </c>
      <c r="C103" s="1022">
        <f>1481/12*8+1470/12*4</f>
        <v>1477.3333333333335</v>
      </c>
      <c r="D103" s="1022">
        <v>11700</v>
      </c>
      <c r="E103" s="1023">
        <v>1</v>
      </c>
      <c r="F103" s="1023">
        <f>D103*E103</f>
        <v>11700</v>
      </c>
      <c r="G103" s="1022"/>
      <c r="H103" s="1023">
        <f>F103*G103</f>
        <v>0</v>
      </c>
      <c r="I103" s="1022">
        <f>F103*C103</f>
        <v>17284800</v>
      </c>
      <c r="J103" s="1022"/>
      <c r="K103" s="1024">
        <f>SUM(I103:J103)</f>
        <v>17284800</v>
      </c>
    </row>
    <row r="104" spans="1:11" ht="15">
      <c r="A104" s="1045" t="s">
        <v>1515</v>
      </c>
      <c r="B104" s="1021" t="s">
        <v>1516</v>
      </c>
      <c r="C104" s="1022">
        <v>26</v>
      </c>
      <c r="D104" s="1022">
        <v>1020000</v>
      </c>
      <c r="E104" s="1023">
        <v>1</v>
      </c>
      <c r="F104" s="1023">
        <f>D104*E104</f>
        <v>1020000</v>
      </c>
      <c r="G104" s="1022"/>
      <c r="H104" s="1023">
        <f>F104*G104</f>
        <v>0</v>
      </c>
      <c r="I104" s="1022">
        <f>F104*C104</f>
        <v>26520000</v>
      </c>
      <c r="J104" s="1022"/>
      <c r="K104" s="1024">
        <f>SUM(I104:J104)</f>
        <v>26520000</v>
      </c>
    </row>
    <row r="105" spans="1:11" ht="15">
      <c r="A105" s="1045" t="s">
        <v>1517</v>
      </c>
      <c r="B105" s="1021" t="s">
        <v>1518</v>
      </c>
      <c r="C105" s="1022"/>
      <c r="D105" s="1022"/>
      <c r="E105" s="1023">
        <v>1</v>
      </c>
      <c r="F105" s="1023">
        <f>D105*E105</f>
        <v>0</v>
      </c>
      <c r="G105" s="1022"/>
      <c r="H105" s="1023">
        <f>F105*G105</f>
        <v>0</v>
      </c>
      <c r="I105" s="1022">
        <v>48591082</v>
      </c>
      <c r="J105" s="1022"/>
      <c r="K105" s="1024">
        <f>SUM(I105:J105)</f>
        <v>48591082</v>
      </c>
    </row>
    <row r="106" spans="1:11" ht="15">
      <c r="A106" s="1045" t="s">
        <v>1519</v>
      </c>
      <c r="B106" s="1021" t="s">
        <v>1520</v>
      </c>
      <c r="C106" s="1022">
        <v>144</v>
      </c>
      <c r="D106" s="1022">
        <v>9400</v>
      </c>
      <c r="E106" s="1023">
        <v>1</v>
      </c>
      <c r="F106" s="1023">
        <f>D106*E106</f>
        <v>9400</v>
      </c>
      <c r="G106" s="1022"/>
      <c r="H106" s="1023">
        <f>F106*G106</f>
        <v>0</v>
      </c>
      <c r="I106" s="1022">
        <f>F106*C106</f>
        <v>1353600</v>
      </c>
      <c r="J106" s="1022"/>
      <c r="K106" s="1024">
        <f>SUM(I106:J106)</f>
        <v>1353600</v>
      </c>
    </row>
    <row r="107" spans="1:11" ht="15">
      <c r="A107" s="1436" t="s">
        <v>1521</v>
      </c>
      <c r="B107" s="1429"/>
      <c r="C107" s="1429"/>
      <c r="D107" s="1430"/>
      <c r="E107" s="1022"/>
      <c r="F107" s="1022"/>
      <c r="G107" s="1022"/>
      <c r="H107" s="1022"/>
      <c r="I107" s="1082">
        <f>SUM(I103:I106)</f>
        <v>93749482</v>
      </c>
      <c r="J107" s="1082"/>
      <c r="K107" s="1083">
        <f>SUM(K103:K106)</f>
        <v>93749482</v>
      </c>
    </row>
    <row r="108" spans="1:11" ht="15">
      <c r="A108" s="1046" t="s">
        <v>1522</v>
      </c>
      <c r="B108" s="1047" t="s">
        <v>1523</v>
      </c>
      <c r="C108" s="1035"/>
      <c r="D108" s="1035"/>
      <c r="E108" s="1037">
        <v>1</v>
      </c>
      <c r="F108" s="1037">
        <f>D108*E108</f>
        <v>0</v>
      </c>
      <c r="G108" s="1035"/>
      <c r="H108" s="1037">
        <f>F108*G108</f>
        <v>0</v>
      </c>
      <c r="I108" s="1035">
        <f>'[3]Összesítő'!E109</f>
        <v>522564884</v>
      </c>
      <c r="J108" s="1035"/>
      <c r="K108" s="1038">
        <f>SUM(I108:J108)</f>
        <v>522564884</v>
      </c>
    </row>
    <row r="109" spans="1:11" ht="15">
      <c r="A109" s="1440" t="s">
        <v>1524</v>
      </c>
      <c r="B109" s="1441"/>
      <c r="C109" s="1441"/>
      <c r="D109" s="1441"/>
      <c r="E109" s="1039"/>
      <c r="F109" s="1039"/>
      <c r="G109" s="1039"/>
      <c r="H109" s="1039"/>
      <c r="I109" s="1040">
        <f>SUM(I107,I108)</f>
        <v>616314366</v>
      </c>
      <c r="J109" s="1040"/>
      <c r="K109" s="1041">
        <f>SUM(K107:K108)</f>
        <v>616314366</v>
      </c>
    </row>
    <row r="110" spans="1:11" ht="15">
      <c r="A110" s="1042"/>
      <c r="B110" s="1043"/>
      <c r="C110" s="1044"/>
      <c r="D110" s="1044"/>
      <c r="E110" s="1044"/>
      <c r="F110" s="1044"/>
      <c r="G110" s="1044"/>
      <c r="H110" s="1044"/>
      <c r="I110" s="1044"/>
      <c r="J110" s="1044"/>
      <c r="K110" s="1044"/>
    </row>
    <row r="111" spans="1:11" ht="19.5" customHeight="1">
      <c r="A111" s="1446" t="s">
        <v>1525</v>
      </c>
      <c r="B111" s="1447"/>
      <c r="C111" s="1447"/>
      <c r="D111" s="1447"/>
      <c r="E111" s="1048"/>
      <c r="F111" s="1048"/>
      <c r="G111" s="1048"/>
      <c r="H111" s="1048"/>
      <c r="I111" s="1049">
        <f>SUM(I109,I100)</f>
        <v>6242655600.792045</v>
      </c>
      <c r="J111" s="1049"/>
      <c r="K111" s="1050">
        <f>SUM(K109,K100)</f>
        <v>6242655600.792045</v>
      </c>
    </row>
    <row r="112" spans="1:11" ht="15">
      <c r="A112" s="1045" t="s">
        <v>1526</v>
      </c>
      <c r="B112" s="1021"/>
      <c r="C112" s="1022"/>
      <c r="D112" s="1022"/>
      <c r="E112" s="1022"/>
      <c r="F112" s="1022"/>
      <c r="G112" s="1022"/>
      <c r="H112" s="1022"/>
      <c r="I112" s="1022">
        <v>317600000</v>
      </c>
      <c r="J112" s="1022"/>
      <c r="K112" s="1024">
        <v>317600000</v>
      </c>
    </row>
    <row r="113" spans="1:11" ht="15">
      <c r="A113" s="1045" t="s">
        <v>1247</v>
      </c>
      <c r="B113" s="1021"/>
      <c r="C113" s="1022"/>
      <c r="D113" s="1022"/>
      <c r="E113" s="1022"/>
      <c r="F113" s="1022"/>
      <c r="G113" s="1022"/>
      <c r="H113" s="1022"/>
      <c r="I113" s="1022"/>
      <c r="J113" s="1022">
        <v>1120785612</v>
      </c>
      <c r="K113" s="1024">
        <f>SUM(I113:J113)</f>
        <v>1120785612</v>
      </c>
    </row>
    <row r="114" spans="1:11" ht="15.75" customHeight="1">
      <c r="A114" s="1046" t="s">
        <v>1248</v>
      </c>
      <c r="B114" s="1051"/>
      <c r="C114" s="1035"/>
      <c r="D114" s="1035"/>
      <c r="E114" s="1035"/>
      <c r="F114" s="1035"/>
      <c r="G114" s="1035"/>
      <c r="H114" s="1035"/>
      <c r="I114" s="1035"/>
      <c r="J114" s="1035">
        <v>395794613</v>
      </c>
      <c r="K114" s="1038">
        <f>SUM(I114:J114)</f>
        <v>395794613</v>
      </c>
    </row>
    <row r="115" spans="1:11" ht="15">
      <c r="A115" s="1042"/>
      <c r="B115" s="1043"/>
      <c r="C115" s="1044"/>
      <c r="D115" s="1044"/>
      <c r="E115" s="1044"/>
      <c r="F115" s="1044"/>
      <c r="G115" s="1044"/>
      <c r="H115" s="1044"/>
      <c r="I115" s="1044"/>
      <c r="J115" s="1044"/>
      <c r="K115" s="1044"/>
    </row>
    <row r="116" spans="1:11" ht="21.75" customHeight="1">
      <c r="A116" s="1442" t="s">
        <v>1527</v>
      </c>
      <c r="B116" s="1443"/>
      <c r="C116" s="1443"/>
      <c r="D116" s="1443"/>
      <c r="E116" s="1443"/>
      <c r="F116" s="1443"/>
      <c r="G116" s="1443"/>
      <c r="H116" s="1443"/>
      <c r="I116" s="1443"/>
      <c r="J116" s="1444"/>
      <c r="K116" s="1041">
        <f>SUM(K111,K112:K114)</f>
        <v>8076835825.792045</v>
      </c>
    </row>
  </sheetData>
  <sheetProtection/>
  <mergeCells count="18">
    <mergeCell ref="A111:D111"/>
    <mergeCell ref="A116:J116"/>
    <mergeCell ref="A102:K102"/>
    <mergeCell ref="E5:F5"/>
    <mergeCell ref="A100:D100"/>
    <mergeCell ref="A109:D109"/>
    <mergeCell ref="D5:D6"/>
    <mergeCell ref="A107:D107"/>
    <mergeCell ref="J1:K1"/>
    <mergeCell ref="G5:H5"/>
    <mergeCell ref="J5:J6"/>
    <mergeCell ref="A2:K2"/>
    <mergeCell ref="A4:A6"/>
    <mergeCell ref="B4:B6"/>
    <mergeCell ref="C4:K4"/>
    <mergeCell ref="I5:I6"/>
    <mergeCell ref="K5:K6"/>
    <mergeCell ref="C5:C6"/>
  </mergeCells>
  <printOptions horizontalCentered="1"/>
  <pageMargins left="0.5905511811023623" right="0.1968503937007874" top="0.63" bottom="0.4724409448818898" header="0.15748031496062992" footer="0.31496062992125984"/>
  <pageSetup horizontalDpi="600" verticalDpi="600" orientation="landscape" paperSize="9" scale="85" r:id="rId1"/>
</worksheet>
</file>

<file path=xl/worksheets/sheet20.xml><?xml version="1.0" encoding="utf-8"?>
<worksheet xmlns="http://schemas.openxmlformats.org/spreadsheetml/2006/main" xmlns:r="http://schemas.openxmlformats.org/officeDocument/2006/relationships">
  <sheetPr codeName="Munka18">
    <tabColor indexed="43"/>
  </sheetPr>
  <dimension ref="A1:K34"/>
  <sheetViews>
    <sheetView workbookViewId="0" topLeftCell="B3">
      <selection activeCell="P23" sqref="P23"/>
    </sheetView>
  </sheetViews>
  <sheetFormatPr defaultColWidth="9.140625" defaultRowHeight="12.75"/>
  <cols>
    <col min="1" max="1" width="84.140625" style="1195" customWidth="1"/>
    <col min="2" max="5" width="16.00390625" style="1196" customWidth="1"/>
    <col min="6" max="6" width="16.00390625" style="1236" customWidth="1"/>
    <col min="7" max="8" width="16.00390625" style="1196" customWidth="1"/>
    <col min="9" max="9" width="11.8515625" style="1196" customWidth="1"/>
    <col min="10" max="16384" width="9.140625" style="1196" customWidth="1"/>
  </cols>
  <sheetData>
    <row r="1" spans="6:8" ht="15.75">
      <c r="F1" s="1900" t="s">
        <v>1342</v>
      </c>
      <c r="G1" s="1900"/>
      <c r="H1" s="1900"/>
    </row>
    <row r="2" spans="1:8" ht="19.5" customHeight="1">
      <c r="A2" s="1837" t="s">
        <v>273</v>
      </c>
      <c r="B2" s="1837"/>
      <c r="C2" s="1837"/>
      <c r="D2" s="1837"/>
      <c r="E2" s="1837"/>
      <c r="F2" s="1837"/>
      <c r="G2" s="1837"/>
      <c r="H2" s="1837"/>
    </row>
    <row r="3" spans="1:8" ht="19.5" customHeight="1">
      <c r="A3" s="1837" t="s">
        <v>528</v>
      </c>
      <c r="B3" s="1837"/>
      <c r="C3" s="1837"/>
      <c r="D3" s="1837"/>
      <c r="E3" s="1837"/>
      <c r="F3" s="1837"/>
      <c r="G3" s="1837"/>
      <c r="H3" s="1837"/>
    </row>
    <row r="4" spans="1:8" ht="19.5" customHeight="1">
      <c r="A4" s="1136"/>
      <c r="B4" s="1136"/>
      <c r="C4" s="1136"/>
      <c r="D4" s="1136"/>
      <c r="E4" s="1136"/>
      <c r="F4" s="1136"/>
      <c r="G4" s="1136"/>
      <c r="H4" s="1136"/>
    </row>
    <row r="5" spans="1:8" ht="19.5" customHeight="1">
      <c r="A5" s="1136"/>
      <c r="B5" s="1136"/>
      <c r="C5" s="1136"/>
      <c r="D5" s="1136"/>
      <c r="E5" s="1136"/>
      <c r="F5" s="1901" t="s">
        <v>384</v>
      </c>
      <c r="G5" s="1901"/>
      <c r="H5" s="1901"/>
    </row>
    <row r="6" spans="1:8" s="1136" customFormat="1" ht="45.75" customHeight="1">
      <c r="A6" s="1198" t="s">
        <v>529</v>
      </c>
      <c r="B6" s="1199" t="s">
        <v>530</v>
      </c>
      <c r="C6" s="1199" t="s">
        <v>531</v>
      </c>
      <c r="D6" s="1199" t="s">
        <v>738</v>
      </c>
      <c r="E6" s="1199" t="s">
        <v>739</v>
      </c>
      <c r="F6" s="1199" t="s">
        <v>532</v>
      </c>
      <c r="G6" s="1199" t="s">
        <v>740</v>
      </c>
      <c r="H6" s="1222" t="s">
        <v>741</v>
      </c>
    </row>
    <row r="7" spans="1:8" ht="21" customHeight="1">
      <c r="A7" s="1066" t="str">
        <f>'3.1. terv alapegys'!B178</f>
        <v>Szolnok belvárosának rehabilitációja (támogatott műszaki tartalom)</v>
      </c>
      <c r="B7" s="1137">
        <f>1392736+8149</f>
        <v>1400885</v>
      </c>
      <c r="C7" s="1223" t="s">
        <v>1545</v>
      </c>
      <c r="D7" s="1224">
        <v>1142335</v>
      </c>
      <c r="E7" s="1137">
        <f>SUM('3.1. terv alapegys'!C178)</f>
        <v>258550</v>
      </c>
      <c r="F7" s="1225"/>
      <c r="G7" s="1225"/>
      <c r="H7" s="1226"/>
    </row>
    <row r="8" spans="1:8" ht="21" customHeight="1">
      <c r="A8" s="1067" t="str">
        <f>'3.1. terv alapegys'!B179</f>
        <v>Szolnok belvárosának rehabilitációja (nem támogatott műszaki tartalom)</v>
      </c>
      <c r="B8" s="1140">
        <f>405384+450</f>
        <v>405834</v>
      </c>
      <c r="C8" s="1312" t="s">
        <v>1545</v>
      </c>
      <c r="D8" s="1228">
        <v>312915</v>
      </c>
      <c r="E8" s="1140">
        <f>SUM('3.1. terv alapegys'!C179)</f>
        <v>92919</v>
      </c>
      <c r="F8" s="1229"/>
      <c r="G8" s="1229"/>
      <c r="H8" s="1230"/>
    </row>
    <row r="9" spans="1:8" ht="21" customHeight="1">
      <c r="A9" s="1067" t="str">
        <f>'3.1. terv alapegys'!B180</f>
        <v>Regionális hulladéklerakó megvalósítása</v>
      </c>
      <c r="B9" s="1140">
        <v>480000</v>
      </c>
      <c r="C9" s="1206" t="s">
        <v>1429</v>
      </c>
      <c r="D9" s="1228"/>
      <c r="E9" s="1140">
        <f>SUM('3.1. terv alapegys'!C180)</f>
        <v>120000</v>
      </c>
      <c r="F9" s="1229">
        <v>180000</v>
      </c>
      <c r="G9" s="1229">
        <v>180000</v>
      </c>
      <c r="H9" s="1230"/>
    </row>
    <row r="10" spans="1:8" ht="21" customHeight="1">
      <c r="A10" s="1067" t="str">
        <f>'3.1. terv alapegys'!B181</f>
        <v>Regionális hulladéklerakó megvalósítása áthúzódó</v>
      </c>
      <c r="B10" s="1140">
        <v>3977774</v>
      </c>
      <c r="C10" s="1206" t="s">
        <v>775</v>
      </c>
      <c r="D10" s="1228">
        <v>3920815</v>
      </c>
      <c r="E10" s="1140">
        <f>SUM('3.1. terv alapegys'!C181)</f>
        <v>36959</v>
      </c>
      <c r="F10" s="1229"/>
      <c r="G10" s="1229"/>
      <c r="H10" s="1230">
        <v>20000</v>
      </c>
    </row>
    <row r="11" spans="1:8" ht="21" customHeight="1">
      <c r="A11" s="1056" t="str">
        <f>'3.1. terv alapegys'!B183</f>
        <v>Tiszaliget infrastrukturális fejlesztése terv</v>
      </c>
      <c r="B11" s="1140">
        <v>30000</v>
      </c>
      <c r="C11" s="1227" t="s">
        <v>1432</v>
      </c>
      <c r="D11" s="1228">
        <v>200</v>
      </c>
      <c r="E11" s="1140">
        <f>SUM('3.1. terv alapegys'!C183)</f>
        <v>29800</v>
      </c>
      <c r="F11" s="1229"/>
      <c r="G11" s="1229"/>
      <c r="H11" s="1230"/>
    </row>
    <row r="12" spans="1:8" ht="21" customHeight="1">
      <c r="A12" s="1056" t="str">
        <f>'3.1. terv alapegys'!B184</f>
        <v>Játszótéri program</v>
      </c>
      <c r="B12" s="1140">
        <v>183000</v>
      </c>
      <c r="C12" s="1227" t="s">
        <v>1431</v>
      </c>
      <c r="D12" s="1228">
        <v>68955</v>
      </c>
      <c r="E12" s="1140">
        <f>SUM('3.1. terv alapegys'!C184)</f>
        <v>50000</v>
      </c>
      <c r="F12" s="1229">
        <v>21000</v>
      </c>
      <c r="G12" s="1229">
        <v>15000</v>
      </c>
      <c r="H12" s="1230">
        <f>183000-D12-E12-F12-G12</f>
        <v>28045</v>
      </c>
    </row>
    <row r="13" spans="1:8" s="1205" customFormat="1" ht="21" customHeight="1">
      <c r="A13" s="1056" t="str">
        <f>'3.1. terv alapegys'!B185</f>
        <v>Thököly út 7. fogyatékosok otthonának építése</v>
      </c>
      <c r="B13" s="1140">
        <f>SUM(E13)</f>
        <v>79224</v>
      </c>
      <c r="C13" s="1206" t="s">
        <v>743</v>
      </c>
      <c r="D13" s="1207"/>
      <c r="E13" s="1140">
        <f>SUM('3.1. terv alapegys'!C185)</f>
        <v>79224</v>
      </c>
      <c r="F13" s="1208"/>
      <c r="G13" s="1208"/>
      <c r="H13" s="1209"/>
    </row>
    <row r="14" spans="1:8" s="1205" customFormat="1" ht="21" customHeight="1">
      <c r="A14" s="1056" t="str">
        <f>'3.1. terv alapegys'!B186</f>
        <v>Tűzoltóság szerállományának bővítése</v>
      </c>
      <c r="B14" s="1140">
        <f>SUM(E14)</f>
        <v>25000</v>
      </c>
      <c r="C14" s="1206" t="s">
        <v>743</v>
      </c>
      <c r="D14" s="1207"/>
      <c r="E14" s="1140">
        <f>SUM('3.1. terv alapegys'!C186)</f>
        <v>25000</v>
      </c>
      <c r="F14" s="1208"/>
      <c r="G14" s="1208"/>
      <c r="H14" s="1209"/>
    </row>
    <row r="15" spans="1:11" s="1205" customFormat="1" ht="21" customHeight="1">
      <c r="A15" s="1056" t="str">
        <f>'3.1. terv alapegys'!B188</f>
        <v>Szabadidősport céljára alkalmas városi sportpályák felújítása</v>
      </c>
      <c r="B15" s="1140">
        <v>46307</v>
      </c>
      <c r="C15" s="1206" t="s">
        <v>1433</v>
      </c>
      <c r="D15" s="1207">
        <v>21159</v>
      </c>
      <c r="E15" s="1140">
        <f>SUM('3.1. terv alapegys'!C188)</f>
        <v>5000</v>
      </c>
      <c r="F15" s="1208">
        <v>5238</v>
      </c>
      <c r="G15" s="1208">
        <f>B15-D15-E15-F15</f>
        <v>14910</v>
      </c>
      <c r="H15" s="1209"/>
      <c r="J15" s="1899"/>
      <c r="K15" s="1899"/>
    </row>
    <row r="16" spans="1:8" s="1205" customFormat="1" ht="21" customHeight="1">
      <c r="A16" s="1056" t="str">
        <f>'3.1. terv alapegys'!B189</f>
        <v>Településfejlesztési koncepció</v>
      </c>
      <c r="B16" s="1140">
        <v>6960</v>
      </c>
      <c r="C16" s="1206" t="s">
        <v>1430</v>
      </c>
      <c r="D16" s="1207">
        <f>B16-E16</f>
        <v>6120</v>
      </c>
      <c r="E16" s="1140">
        <f>SUM('3.1. terv alapegys'!C189)</f>
        <v>840</v>
      </c>
      <c r="F16" s="1208"/>
      <c r="G16" s="1208"/>
      <c r="H16" s="1209"/>
    </row>
    <row r="17" spans="1:8" s="1205" customFormat="1" ht="21" customHeight="1">
      <c r="A17" s="1056" t="str">
        <f>'3.1. terv alapegys'!B193</f>
        <v>Integrált pénzügyi rendszer</v>
      </c>
      <c r="B17" s="1140">
        <v>48496</v>
      </c>
      <c r="C17" s="1206" t="s">
        <v>1430</v>
      </c>
      <c r="D17" s="1207">
        <v>33976</v>
      </c>
      <c r="E17" s="1140">
        <f>SUM('3.1. terv alapegys'!C193)</f>
        <v>14520</v>
      </c>
      <c r="F17" s="1208"/>
      <c r="G17" s="1208"/>
      <c r="H17" s="1209"/>
    </row>
    <row r="18" spans="1:8" s="1205" customFormat="1" ht="21" customHeight="1">
      <c r="A18" s="1056" t="str">
        <f>'3.1. terv alapegys'!B194</f>
        <v>Közbeszerzés</v>
      </c>
      <c r="B18" s="1140">
        <v>4000</v>
      </c>
      <c r="C18" s="1206" t="s">
        <v>894</v>
      </c>
      <c r="D18" s="1207"/>
      <c r="E18" s="1140">
        <f>SUM('3.1. terv alapegys'!J194)</f>
        <v>4000</v>
      </c>
      <c r="F18" s="1208"/>
      <c r="G18" s="1208"/>
      <c r="H18" s="1209"/>
    </row>
    <row r="19" spans="1:8" s="1205" customFormat="1" ht="21" customHeight="1">
      <c r="A19" s="1056" t="str">
        <f>'3.1. terv alapegys'!B195</f>
        <v>Tiszaliget infrastrukturális fejlesztése</v>
      </c>
      <c r="B19" s="1140">
        <f>SUM(E19)</f>
        <v>450000</v>
      </c>
      <c r="C19" s="1206" t="s">
        <v>774</v>
      </c>
      <c r="D19" s="1207"/>
      <c r="E19" s="1140">
        <f>SUM('3.1. terv alapegys'!J195)</f>
        <v>450000</v>
      </c>
      <c r="F19" s="1208"/>
      <c r="G19" s="1208"/>
      <c r="H19" s="1209"/>
    </row>
    <row r="20" spans="1:8" s="1205" customFormat="1" ht="21" customHeight="1">
      <c r="A20" s="1056" t="str">
        <f>'3.1. terv alapegys'!B196</f>
        <v>Ipari Park közműépítése</v>
      </c>
      <c r="B20" s="1140">
        <f aca="true" t="shared" si="0" ref="B20:B33">SUM(E20)</f>
        <v>600000</v>
      </c>
      <c r="C20" s="1206" t="s">
        <v>894</v>
      </c>
      <c r="D20" s="1207"/>
      <c r="E20" s="1140">
        <f>SUM('3.1. terv alapegys'!J196)</f>
        <v>600000</v>
      </c>
      <c r="F20" s="1208"/>
      <c r="G20" s="1208"/>
      <c r="H20" s="1209"/>
    </row>
    <row r="21" spans="1:8" s="1205" customFormat="1" ht="21" customHeight="1">
      <c r="A21" s="1056" t="str">
        <f>'3.1. terv alapegys'!B197</f>
        <v>Új út építési program</v>
      </c>
      <c r="B21" s="1140">
        <f t="shared" si="0"/>
        <v>85000</v>
      </c>
      <c r="C21" s="1206" t="s">
        <v>894</v>
      </c>
      <c r="D21" s="1207"/>
      <c r="E21" s="1140">
        <f>SUM('3.1. terv alapegys'!J197)</f>
        <v>85000</v>
      </c>
      <c r="F21" s="1208"/>
      <c r="G21" s="1208"/>
      <c r="H21" s="1209"/>
    </row>
    <row r="22" spans="1:8" s="1205" customFormat="1" ht="21" customHeight="1">
      <c r="A22" s="1056" t="s">
        <v>1491</v>
      </c>
      <c r="B22" s="1140">
        <f t="shared" si="0"/>
        <v>15000</v>
      </c>
      <c r="C22" s="1206" t="s">
        <v>1430</v>
      </c>
      <c r="D22" s="1207"/>
      <c r="E22" s="1140">
        <f>SUM('3.1. terv alapegys'!J199)</f>
        <v>15000</v>
      </c>
      <c r="F22" s="1208"/>
      <c r="G22" s="1208"/>
      <c r="H22" s="1209"/>
    </row>
    <row r="23" spans="1:8" s="1205" customFormat="1" ht="21" customHeight="1">
      <c r="A23" s="1056" t="str">
        <f>'3.1. terv alapegys'!B200</f>
        <v>Parkok felszerelése</v>
      </c>
      <c r="B23" s="1140">
        <v>47500</v>
      </c>
      <c r="C23" s="1206" t="s">
        <v>1433</v>
      </c>
      <c r="D23" s="1207">
        <v>22500</v>
      </c>
      <c r="E23" s="1140">
        <f>SUM('3.1. terv alapegys'!J200)</f>
        <v>5000</v>
      </c>
      <c r="F23" s="1208">
        <v>5000</v>
      </c>
      <c r="G23" s="1208">
        <v>5000</v>
      </c>
      <c r="H23" s="1209">
        <v>10000</v>
      </c>
    </row>
    <row r="24" spans="1:8" s="1205" customFormat="1" ht="21" customHeight="1">
      <c r="A24" s="1056" t="str">
        <f>'3.1. terv alapegys'!B201</f>
        <v>Fásítási program</v>
      </c>
      <c r="B24" s="1140">
        <v>94500</v>
      </c>
      <c r="C24" s="1206" t="s">
        <v>1433</v>
      </c>
      <c r="D24" s="1207">
        <v>56500</v>
      </c>
      <c r="E24" s="1140">
        <f>SUM('3.1. terv alapegys'!J201)</f>
        <v>4500</v>
      </c>
      <c r="F24" s="1208">
        <v>4500</v>
      </c>
      <c r="G24" s="1208">
        <v>4500</v>
      </c>
      <c r="H24" s="1209">
        <v>24500</v>
      </c>
    </row>
    <row r="25" spans="1:8" s="1205" customFormat="1" ht="21" customHeight="1">
      <c r="A25" s="1210" t="str">
        <f>'3.1. terv alapegys'!B202</f>
        <v>Kerékpárút építése (Szolnok- Dobapuszta)</v>
      </c>
      <c r="B25" s="1140">
        <f t="shared" si="0"/>
        <v>1500</v>
      </c>
      <c r="C25" s="1206" t="s">
        <v>894</v>
      </c>
      <c r="D25" s="1207"/>
      <c r="E25" s="1140">
        <f>SUM('3.1. terv alapegys'!J202)</f>
        <v>1500</v>
      </c>
      <c r="F25" s="1208"/>
      <c r="G25" s="1208"/>
      <c r="H25" s="1209"/>
    </row>
    <row r="26" spans="1:8" s="1205" customFormat="1" ht="21" customHeight="1">
      <c r="A26" s="1056" t="str">
        <f>'3.1. terv alapegys'!B203</f>
        <v>Csokonai u. közvilágítás átépítése</v>
      </c>
      <c r="B26" s="1140">
        <f t="shared" si="0"/>
        <v>8000</v>
      </c>
      <c r="C26" s="1206" t="s">
        <v>894</v>
      </c>
      <c r="D26" s="1207"/>
      <c r="E26" s="1140">
        <f>SUM('3.1. terv alapegys'!J203)</f>
        <v>8000</v>
      </c>
      <c r="F26" s="1208"/>
      <c r="G26" s="1208"/>
      <c r="H26" s="1209"/>
    </row>
    <row r="27" spans="1:8" s="1205" customFormat="1" ht="21" customHeight="1">
      <c r="A27" s="1056" t="str">
        <f>'3.1. terv alapegys'!B204</f>
        <v>Közvilágítás egyedi lakossági igények</v>
      </c>
      <c r="B27" s="1140">
        <f t="shared" si="0"/>
        <v>5000</v>
      </c>
      <c r="C27" s="1206" t="s">
        <v>894</v>
      </c>
      <c r="D27" s="1207"/>
      <c r="E27" s="1140">
        <f>SUM('3.1. terv alapegys'!J204)</f>
        <v>5000</v>
      </c>
      <c r="F27" s="1208"/>
      <c r="G27" s="1208"/>
      <c r="H27" s="1209"/>
    </row>
    <row r="28" spans="1:8" s="1205" customFormat="1" ht="21" customHeight="1">
      <c r="A28" s="1056" t="str">
        <f>'3.1. terv alapegys'!B205</f>
        <v>Széchenyi lakótelep piac mögötti járda megvilágítása</v>
      </c>
      <c r="B28" s="1140">
        <f t="shared" si="0"/>
        <v>1000</v>
      </c>
      <c r="C28" s="1206" t="s">
        <v>894</v>
      </c>
      <c r="D28" s="1207"/>
      <c r="E28" s="1140">
        <f>SUM('3.1. terv alapegys'!J205)</f>
        <v>1000</v>
      </c>
      <c r="F28" s="1208"/>
      <c r="G28" s="1208"/>
      <c r="H28" s="1209"/>
    </row>
    <row r="29" spans="1:8" s="1205" customFormat="1" ht="21" customHeight="1">
      <c r="A29" s="1056" t="str">
        <f>'3.1. terv alapegys'!B206</f>
        <v>EGT, Norvég Alap Környezeti nevelés</v>
      </c>
      <c r="B29" s="1140">
        <f t="shared" si="0"/>
        <v>8250</v>
      </c>
      <c r="C29" s="1206" t="s">
        <v>894</v>
      </c>
      <c r="D29" s="1207"/>
      <c r="E29" s="1140">
        <f>SUM('3.1. terv alapegys'!I206)</f>
        <v>8250</v>
      </c>
      <c r="F29" s="1208"/>
      <c r="G29" s="1208"/>
      <c r="H29" s="1209"/>
    </row>
    <row r="30" spans="1:8" s="1205" customFormat="1" ht="21" customHeight="1">
      <c r="A30" s="1056" t="str">
        <f>'3.1. terv alapegys'!B207</f>
        <v>Építészeti, Faipari és Környezetgazdálkodási Szakközépiskola Tószegi úti tanműhely bővítése</v>
      </c>
      <c r="B30" s="1140">
        <f t="shared" si="0"/>
        <v>5000</v>
      </c>
      <c r="C30" s="1206" t="s">
        <v>894</v>
      </c>
      <c r="D30" s="1207"/>
      <c r="E30" s="1140">
        <f>SUM('3.1. terv alapegys'!J207)</f>
        <v>5000</v>
      </c>
      <c r="F30" s="1208"/>
      <c r="G30" s="1208"/>
      <c r="H30" s="1209"/>
    </row>
    <row r="31" spans="1:8" s="1205" customFormat="1" ht="21" customHeight="1">
      <c r="A31" s="1231" t="str">
        <f>'3.1. terv alapegys'!B210</f>
        <v>Orvosi rendelő vásárlás</v>
      </c>
      <c r="B31" s="1152">
        <f t="shared" si="0"/>
        <v>41000</v>
      </c>
      <c r="C31" s="1232" t="s">
        <v>894</v>
      </c>
      <c r="D31" s="1233"/>
      <c r="E31" s="1152">
        <f>SUM('3.1. terv alapegys'!J210)</f>
        <v>41000</v>
      </c>
      <c r="F31" s="1234"/>
      <c r="G31" s="1234"/>
      <c r="H31" s="1235"/>
    </row>
    <row r="32" spans="1:8" s="1205" customFormat="1" ht="21" customHeight="1">
      <c r="A32" s="1267" t="str">
        <f>'3.1. terv alapegys'!B211</f>
        <v>Körforgalmak kertészeti rendezése</v>
      </c>
      <c r="B32" s="1152">
        <f>SUM('3.1. terv alapegys'!C211)</f>
        <v>10000</v>
      </c>
      <c r="C32" s="1232" t="s">
        <v>894</v>
      </c>
      <c r="D32" s="1233"/>
      <c r="E32" s="1152">
        <f>SUM('3.1. terv alapegys'!J211)</f>
        <v>10000</v>
      </c>
      <c r="F32" s="1234"/>
      <c r="G32" s="1234"/>
      <c r="H32" s="1235"/>
    </row>
    <row r="33" spans="1:8" s="1205" customFormat="1" ht="21" customHeight="1">
      <c r="A33" s="1268" t="s">
        <v>806</v>
      </c>
      <c r="B33" s="1144">
        <f t="shared" si="0"/>
        <v>44700</v>
      </c>
      <c r="C33" s="1214" t="s">
        <v>894</v>
      </c>
      <c r="D33" s="1215"/>
      <c r="E33" s="1144">
        <f>SUM('3 c forrás szerk'!B44)</f>
        <v>44700</v>
      </c>
      <c r="F33" s="1216"/>
      <c r="G33" s="1216"/>
      <c r="H33" s="1217"/>
    </row>
    <row r="34" spans="1:8" ht="28.5" customHeight="1">
      <c r="A34" s="1218" t="s">
        <v>533</v>
      </c>
      <c r="B34" s="1219">
        <f>SUM(B7:B33)</f>
        <v>8103930</v>
      </c>
      <c r="C34" s="1220" t="s">
        <v>534</v>
      </c>
      <c r="D34" s="1219">
        <f>SUM(D7:D33)</f>
        <v>5585475</v>
      </c>
      <c r="E34" s="1219">
        <f>SUM(E7:E33)</f>
        <v>2000762</v>
      </c>
      <c r="F34" s="1219">
        <f>SUM(F7:F33)</f>
        <v>215738</v>
      </c>
      <c r="G34" s="1219">
        <f>SUM(G7:G33)</f>
        <v>219410</v>
      </c>
      <c r="H34" s="1221">
        <f>SUM(H7:H33)</f>
        <v>82545</v>
      </c>
    </row>
  </sheetData>
  <mergeCells count="5">
    <mergeCell ref="J15:K15"/>
    <mergeCell ref="F1:H1"/>
    <mergeCell ref="A2:H2"/>
    <mergeCell ref="A3:H3"/>
    <mergeCell ref="F5:H5"/>
  </mergeCells>
  <printOptions/>
  <pageMargins left="0.63" right="0.6" top="0.85" bottom="0.44" header="0.5" footer="0.5"/>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codeName="Munka19">
    <tabColor indexed="43"/>
  </sheetPr>
  <dimension ref="A1:H22"/>
  <sheetViews>
    <sheetView workbookViewId="0" topLeftCell="A1">
      <selection activeCell="A26" sqref="A26"/>
    </sheetView>
  </sheetViews>
  <sheetFormatPr defaultColWidth="9.140625" defaultRowHeight="12.75"/>
  <cols>
    <col min="1" max="1" width="52.421875" style="1195" customWidth="1"/>
    <col min="2" max="3" width="13.28125" style="1196" customWidth="1"/>
    <col min="4" max="4" width="15.8515625" style="1196" customWidth="1"/>
    <col min="5" max="8" width="13.28125" style="1196" customWidth="1"/>
    <col min="9" max="9" width="11.8515625" style="1196" customWidth="1"/>
    <col min="10" max="16384" width="9.140625" style="1196" customWidth="1"/>
  </cols>
  <sheetData>
    <row r="1" spans="6:8" ht="15.75">
      <c r="F1" s="1902" t="s">
        <v>399</v>
      </c>
      <c r="G1" s="1902"/>
      <c r="H1" s="1902"/>
    </row>
    <row r="2" spans="6:8" ht="15.75">
      <c r="F2" s="1197"/>
      <c r="G2" s="1197"/>
      <c r="H2" s="1197"/>
    </row>
    <row r="3" spans="1:8" ht="20.25" customHeight="1">
      <c r="A3" s="1837" t="s">
        <v>273</v>
      </c>
      <c r="B3" s="1837"/>
      <c r="C3" s="1837"/>
      <c r="D3" s="1837"/>
      <c r="E3" s="1837"/>
      <c r="F3" s="1837"/>
      <c r="G3" s="1837"/>
      <c r="H3" s="1837"/>
    </row>
    <row r="4" spans="1:8" ht="20.25" customHeight="1">
      <c r="A4" s="1837" t="s">
        <v>535</v>
      </c>
      <c r="B4" s="1837"/>
      <c r="C4" s="1837"/>
      <c r="D4" s="1837"/>
      <c r="E4" s="1837"/>
      <c r="F4" s="1837"/>
      <c r="G4" s="1837"/>
      <c r="H4" s="1837"/>
    </row>
    <row r="5" spans="1:8" ht="20.25" customHeight="1">
      <c r="A5" s="1136"/>
      <c r="B5" s="1136"/>
      <c r="C5" s="1136"/>
      <c r="D5" s="1136"/>
      <c r="E5" s="1136"/>
      <c r="F5" s="1136"/>
      <c r="G5" s="1136"/>
      <c r="H5" s="1136"/>
    </row>
    <row r="6" spans="1:8" ht="20.25" customHeight="1">
      <c r="A6" s="1136"/>
      <c r="B6" s="1136"/>
      <c r="C6" s="1136"/>
      <c r="D6" s="1136"/>
      <c r="E6" s="1136"/>
      <c r="F6" s="1136"/>
      <c r="G6" s="1136"/>
      <c r="H6" s="1136"/>
    </row>
    <row r="7" spans="1:8" ht="15" customHeight="1">
      <c r="A7" s="1136"/>
      <c r="B7" s="1136"/>
      <c r="C7" s="1136"/>
      <c r="D7" s="1136"/>
      <c r="E7" s="1136"/>
      <c r="F7" s="1903" t="s">
        <v>384</v>
      </c>
      <c r="G7" s="1903"/>
      <c r="H7" s="1903"/>
    </row>
    <row r="8" spans="1:8" s="1136" customFormat="1" ht="64.5" customHeight="1">
      <c r="A8" s="1198" t="s">
        <v>536</v>
      </c>
      <c r="B8" s="1199" t="s">
        <v>530</v>
      </c>
      <c r="C8" s="1199" t="s">
        <v>531</v>
      </c>
      <c r="D8" s="1199" t="s">
        <v>738</v>
      </c>
      <c r="E8" s="1199" t="s">
        <v>739</v>
      </c>
      <c r="F8" s="1199" t="s">
        <v>532</v>
      </c>
      <c r="G8" s="1199" t="s">
        <v>740</v>
      </c>
      <c r="H8" s="1200" t="s">
        <v>741</v>
      </c>
    </row>
    <row r="9" spans="1:8" s="1205" customFormat="1" ht="15.75">
      <c r="A9" s="741" t="str">
        <f>'3.1. terv alapegys'!B187</f>
        <v>Intézményi felújítások előkészítése</v>
      </c>
      <c r="B9" s="1137">
        <v>5280</v>
      </c>
      <c r="C9" s="1201" t="s">
        <v>894</v>
      </c>
      <c r="D9" s="1202"/>
      <c r="E9" s="1137">
        <f>SUM('3.1. terv alapegys'!C187)</f>
        <v>5280</v>
      </c>
      <c r="F9" s="1203"/>
      <c r="G9" s="1203"/>
      <c r="H9" s="1204"/>
    </row>
    <row r="10" spans="1:8" ht="31.5">
      <c r="A10" s="740" t="str">
        <f>'3.1. terv alapegys'!B190</f>
        <v>Intézményi felújítások (Ruhaipari SzKI, Verseghy Gimnázium)</v>
      </c>
      <c r="B10" s="1140">
        <v>30221</v>
      </c>
      <c r="C10" s="1206" t="s">
        <v>1430</v>
      </c>
      <c r="D10" s="1207">
        <f>B10-E10</f>
        <v>30142</v>
      </c>
      <c r="E10" s="1140">
        <f>SUM('3.1. terv alapegys'!C190)</f>
        <v>79</v>
      </c>
      <c r="F10" s="1208"/>
      <c r="G10" s="1208"/>
      <c r="H10" s="1209"/>
    </row>
    <row r="11" spans="1:8" ht="15.75">
      <c r="A11" s="740" t="str">
        <f>'3.1. terv alapegys'!B191</f>
        <v>Városháza épületfelújítás</v>
      </c>
      <c r="B11" s="1140">
        <v>331000</v>
      </c>
      <c r="C11" s="1206" t="s">
        <v>1435</v>
      </c>
      <c r="D11" s="1207">
        <v>61000</v>
      </c>
      <c r="E11" s="1140">
        <f>SUM('3.1. terv alapegys'!K191)</f>
        <v>90000</v>
      </c>
      <c r="F11" s="1208">
        <v>90000</v>
      </c>
      <c r="G11" s="1208">
        <v>90000</v>
      </c>
      <c r="H11" s="1209"/>
    </row>
    <row r="12" spans="1:8" ht="15.75">
      <c r="A12" s="740" t="str">
        <f>'3.1. terv alapegys'!B192</f>
        <v>Városháza fűtéskorszerűsítés</v>
      </c>
      <c r="B12" s="1140">
        <v>39783</v>
      </c>
      <c r="C12" s="1206" t="s">
        <v>1430</v>
      </c>
      <c r="D12" s="1207">
        <f>B12-E12</f>
        <v>27836</v>
      </c>
      <c r="E12" s="1140">
        <f>SUM('3.1. terv alapegys'!C192)</f>
        <v>11947</v>
      </c>
      <c r="F12" s="1208"/>
      <c r="G12" s="1208"/>
      <c r="H12" s="1209"/>
    </row>
    <row r="13" spans="1:8" ht="15.75">
      <c r="A13" s="740" t="str">
        <f>'3.1. terv alapegys'!B194</f>
        <v>Közbeszerzés</v>
      </c>
      <c r="B13" s="1140">
        <f>SUM(E13)</f>
        <v>3000</v>
      </c>
      <c r="C13" s="1206" t="s">
        <v>894</v>
      </c>
      <c r="D13" s="1207"/>
      <c r="E13" s="1140">
        <f>SUM('3.1. terv alapegys'!K194)</f>
        <v>3000</v>
      </c>
      <c r="F13" s="1208"/>
      <c r="G13" s="1208"/>
      <c r="H13" s="1209"/>
    </row>
    <row r="14" spans="1:8" ht="15.75">
      <c r="A14" s="1210" t="str">
        <f>'3.1. terv alapegys'!B198</f>
        <v>Meglévő utak felújítása (egyéb utak)</v>
      </c>
      <c r="B14" s="1140">
        <f aca="true" t="shared" si="0" ref="B14:B21">SUM(E14)</f>
        <v>172000</v>
      </c>
      <c r="C14" s="1206" t="s">
        <v>894</v>
      </c>
      <c r="D14" s="1207"/>
      <c r="E14" s="1140">
        <f>SUM('3.1. terv alapegys'!K198)</f>
        <v>172000</v>
      </c>
      <c r="F14" s="1208"/>
      <c r="G14" s="1208"/>
      <c r="H14" s="1209"/>
    </row>
    <row r="15" spans="1:8" ht="15.75">
      <c r="A15" s="1210" t="str">
        <f>'3.1. terv alapegys'!B199</f>
        <v>Járdaépítés, felújítás</v>
      </c>
      <c r="B15" s="1140">
        <f t="shared" si="0"/>
        <v>15000</v>
      </c>
      <c r="C15" s="1206" t="s">
        <v>894</v>
      </c>
      <c r="D15" s="1207"/>
      <c r="E15" s="1140">
        <f>SUM('3.1. terv alapegys'!K199)</f>
        <v>15000</v>
      </c>
      <c r="F15" s="1208"/>
      <c r="G15" s="1208"/>
      <c r="H15" s="1209"/>
    </row>
    <row r="16" spans="1:8" ht="15.75">
      <c r="A16" s="1056" t="str">
        <f>'3.1. terv alapegys'!B208</f>
        <v>Kanizsa Tivadar tanmedence felújítása</v>
      </c>
      <c r="B16" s="1140">
        <f t="shared" si="0"/>
        <v>20000</v>
      </c>
      <c r="C16" s="1206" t="s">
        <v>894</v>
      </c>
      <c r="D16" s="1207"/>
      <c r="E16" s="1140">
        <f>SUM('3.1. terv alapegys'!K208)</f>
        <v>20000</v>
      </c>
      <c r="F16" s="1208"/>
      <c r="G16" s="1208"/>
      <c r="H16" s="1209"/>
    </row>
    <row r="17" spans="1:8" ht="15.75">
      <c r="A17" s="740" t="str">
        <f>'3.1. terv alapegys'!B209</f>
        <v>Óvodai játszóterek felújítása, karbantartása</v>
      </c>
      <c r="B17" s="1140">
        <f t="shared" si="0"/>
        <v>8000</v>
      </c>
      <c r="C17" s="1206" t="s">
        <v>894</v>
      </c>
      <c r="D17" s="1207"/>
      <c r="E17" s="1140">
        <f>SUM('3.1. terv alapegys'!K209)</f>
        <v>8000</v>
      </c>
      <c r="F17" s="1208"/>
      <c r="G17" s="1208"/>
      <c r="H17" s="1209"/>
    </row>
    <row r="18" spans="1:8" ht="15.75">
      <c r="A18" s="1211" t="s">
        <v>925</v>
      </c>
      <c r="B18" s="1140">
        <f t="shared" si="0"/>
        <v>2500</v>
      </c>
      <c r="C18" s="1206" t="s">
        <v>894</v>
      </c>
      <c r="D18" s="1207"/>
      <c r="E18" s="1140">
        <f>SUM('3.1. terv alapegys'!L170)</f>
        <v>2500</v>
      </c>
      <c r="F18" s="1208"/>
      <c r="G18" s="1208"/>
      <c r="H18" s="1209"/>
    </row>
    <row r="19" spans="1:8" ht="15.75">
      <c r="A19" s="1211" t="s">
        <v>1032</v>
      </c>
      <c r="B19" s="1140">
        <f t="shared" si="0"/>
        <v>12200</v>
      </c>
      <c r="C19" s="1206" t="s">
        <v>894</v>
      </c>
      <c r="D19" s="1207"/>
      <c r="E19" s="1140">
        <f>SUM('3.1. terv alapegys'!K220)</f>
        <v>12200</v>
      </c>
      <c r="F19" s="1208"/>
      <c r="G19" s="1208"/>
      <c r="H19" s="1209"/>
    </row>
    <row r="20" spans="1:8" ht="15.75">
      <c r="A20" s="1212" t="s">
        <v>939</v>
      </c>
      <c r="B20" s="1140">
        <f t="shared" si="0"/>
        <v>80000</v>
      </c>
      <c r="C20" s="1206" t="s">
        <v>894</v>
      </c>
      <c r="D20" s="1207"/>
      <c r="E20" s="1140">
        <f>SUM('3.1. terv alapegys'!K228)</f>
        <v>80000</v>
      </c>
      <c r="F20" s="1208"/>
      <c r="G20" s="1208"/>
      <c r="H20" s="1209"/>
    </row>
    <row r="21" spans="1:8" ht="15.75">
      <c r="A21" s="1213" t="s">
        <v>213</v>
      </c>
      <c r="B21" s="1144">
        <f t="shared" si="0"/>
        <v>122000</v>
      </c>
      <c r="C21" s="1214" t="s">
        <v>894</v>
      </c>
      <c r="D21" s="1215"/>
      <c r="E21" s="1144">
        <f>SUM('3.1. terv alapegys'!K229)</f>
        <v>122000</v>
      </c>
      <c r="F21" s="1216"/>
      <c r="G21" s="1216"/>
      <c r="H21" s="1217"/>
    </row>
    <row r="22" spans="1:8" ht="23.25" customHeight="1">
      <c r="A22" s="1218" t="s">
        <v>503</v>
      </c>
      <c r="B22" s="1219">
        <f>SUM(B9:B21)</f>
        <v>840984</v>
      </c>
      <c r="C22" s="1220" t="s">
        <v>534</v>
      </c>
      <c r="D22" s="1219">
        <f>SUM(D9:D21)</f>
        <v>118978</v>
      </c>
      <c r="E22" s="1219">
        <f>SUM(E9:E21)</f>
        <v>542006</v>
      </c>
      <c r="F22" s="1219">
        <f>SUM(F9:F21)</f>
        <v>90000</v>
      </c>
      <c r="G22" s="1219">
        <f>SUM(G9:G21)</f>
        <v>90000</v>
      </c>
      <c r="H22" s="1221">
        <f>SUM(H9:H17)</f>
        <v>0</v>
      </c>
    </row>
  </sheetData>
  <mergeCells count="4">
    <mergeCell ref="F1:H1"/>
    <mergeCell ref="A3:H3"/>
    <mergeCell ref="A4:H4"/>
    <mergeCell ref="F7:H7"/>
  </mergeCells>
  <printOptions horizontalCentered="1"/>
  <pageMargins left="0.7874015748031497" right="0.7874015748031497" top="0.5905511811023623" bottom="0.7874015748031497" header="0.4330708661417323" footer="0.5118110236220472"/>
  <pageSetup horizontalDpi="600" verticalDpi="600" orientation="landscape" paperSize="9" scale="85" r:id="rId1"/>
</worksheet>
</file>

<file path=xl/worksheets/sheet22.xml><?xml version="1.0" encoding="utf-8"?>
<worksheet xmlns="http://schemas.openxmlformats.org/spreadsheetml/2006/main" xmlns:r="http://schemas.openxmlformats.org/officeDocument/2006/relationships">
  <sheetPr codeName="Munka21">
    <tabColor indexed="43"/>
  </sheetPr>
  <dimension ref="A1:I12"/>
  <sheetViews>
    <sheetView workbookViewId="0" topLeftCell="A1">
      <selection activeCell="F58" sqref="F58"/>
    </sheetView>
  </sheetViews>
  <sheetFormatPr defaultColWidth="9.140625" defaultRowHeight="12.75"/>
  <cols>
    <col min="1" max="1" width="60.8515625" style="150" customWidth="1"/>
    <col min="2" max="6" width="12.8515625" style="151" customWidth="1"/>
    <col min="7" max="7" width="11.8515625" style="151" customWidth="1"/>
    <col min="8" max="16384" width="9.140625" style="151" customWidth="1"/>
  </cols>
  <sheetData>
    <row r="1" spans="3:6" ht="15">
      <c r="C1" s="1904" t="s">
        <v>400</v>
      </c>
      <c r="D1" s="1904"/>
      <c r="E1" s="1904"/>
      <c r="F1" s="1904"/>
    </row>
    <row r="2" spans="3:6" ht="15">
      <c r="C2" s="152"/>
      <c r="D2" s="152"/>
      <c r="E2" s="152"/>
      <c r="F2" s="152"/>
    </row>
    <row r="3" spans="1:6" ht="20.25" customHeight="1">
      <c r="A3" s="1845" t="s">
        <v>273</v>
      </c>
      <c r="B3" s="1845"/>
      <c r="C3" s="1845"/>
      <c r="D3" s="1845"/>
      <c r="E3" s="1845"/>
      <c r="F3" s="1845"/>
    </row>
    <row r="4" spans="1:6" ht="20.25" customHeight="1">
      <c r="A4" s="1845" t="s">
        <v>537</v>
      </c>
      <c r="B4" s="1845"/>
      <c r="C4" s="1845"/>
      <c r="D4" s="1845"/>
      <c r="E4" s="1845"/>
      <c r="F4" s="1845"/>
    </row>
    <row r="5" spans="1:6" ht="20.25" customHeight="1">
      <c r="A5" s="153"/>
      <c r="B5" s="153"/>
      <c r="C5" s="153"/>
      <c r="D5" s="153"/>
      <c r="E5" s="153"/>
      <c r="F5" s="153"/>
    </row>
    <row r="6" spans="1:9" ht="20.25" customHeight="1">
      <c r="A6" s="154"/>
      <c r="B6" s="154"/>
      <c r="C6" s="154"/>
      <c r="D6" s="154"/>
      <c r="E6" s="154"/>
      <c r="F6" s="154"/>
      <c r="G6" s="155"/>
      <c r="H6" s="155"/>
      <c r="I6" s="155"/>
    </row>
    <row r="7" spans="1:9" ht="15">
      <c r="A7" s="198"/>
      <c r="B7" s="155"/>
      <c r="C7" s="1905" t="s">
        <v>384</v>
      </c>
      <c r="D7" s="1905"/>
      <c r="E7" s="1905"/>
      <c r="F7" s="1905"/>
      <c r="G7" s="155"/>
      <c r="H7" s="155"/>
      <c r="I7" s="155"/>
    </row>
    <row r="8" spans="1:9" s="153" customFormat="1" ht="45" customHeight="1">
      <c r="A8" s="171" t="s">
        <v>536</v>
      </c>
      <c r="B8" s="146" t="s">
        <v>744</v>
      </c>
      <c r="C8" s="146" t="s">
        <v>739</v>
      </c>
      <c r="D8" s="146" t="s">
        <v>532</v>
      </c>
      <c r="E8" s="146" t="s">
        <v>740</v>
      </c>
      <c r="F8" s="147" t="s">
        <v>741</v>
      </c>
      <c r="G8" s="154"/>
      <c r="H8" s="154"/>
      <c r="I8" s="154"/>
    </row>
    <row r="9" spans="1:9" s="153" customFormat="1" ht="34.5" customHeight="1">
      <c r="A9" s="296" t="s">
        <v>130</v>
      </c>
      <c r="B9" s="1190">
        <v>223725</v>
      </c>
      <c r="C9" s="1190">
        <f>SUM('3.1. terv alapegys'!L182)</f>
        <v>288225</v>
      </c>
      <c r="D9" s="1190"/>
      <c r="E9" s="1190"/>
      <c r="F9" s="1191"/>
      <c r="G9" s="154"/>
      <c r="H9" s="154"/>
      <c r="I9" s="154"/>
    </row>
    <row r="10" spans="1:9" s="153" customFormat="1" ht="34.5" customHeight="1">
      <c r="A10" s="145" t="s">
        <v>949</v>
      </c>
      <c r="B10" s="157">
        <v>16700</v>
      </c>
      <c r="C10" s="157">
        <f>SUM('3.1. terv alapegys'!L163)</f>
        <v>25000</v>
      </c>
      <c r="D10" s="157"/>
      <c r="E10" s="157"/>
      <c r="F10" s="158"/>
      <c r="G10" s="154"/>
      <c r="H10" s="154"/>
      <c r="I10" s="154"/>
    </row>
    <row r="11" spans="1:9" s="153" customFormat="1" ht="34.5" customHeight="1">
      <c r="A11" s="1192" t="s">
        <v>925</v>
      </c>
      <c r="B11" s="1193">
        <v>1149</v>
      </c>
      <c r="C11" s="1193">
        <f>SUM('3.1. terv alapegys'!L170)</f>
        <v>2500</v>
      </c>
      <c r="D11" s="1193"/>
      <c r="E11" s="1193"/>
      <c r="F11" s="1194"/>
      <c r="G11" s="154"/>
      <c r="H11" s="154"/>
      <c r="I11" s="154"/>
    </row>
    <row r="12" spans="1:9" s="163" customFormat="1" ht="30.75" customHeight="1">
      <c r="A12" s="159" t="s">
        <v>1064</v>
      </c>
      <c r="B12" s="160">
        <f>SUM(B9:B10)</f>
        <v>240425</v>
      </c>
      <c r="C12" s="160">
        <f>SUM(C9:C11)</f>
        <v>315725</v>
      </c>
      <c r="D12" s="160"/>
      <c r="E12" s="160">
        <f>SUM(E9:E11)</f>
        <v>0</v>
      </c>
      <c r="F12" s="161">
        <f>SUM(F9:F11)</f>
        <v>0</v>
      </c>
      <c r="G12" s="162"/>
      <c r="H12" s="162"/>
      <c r="I12" s="162"/>
    </row>
  </sheetData>
  <mergeCells count="4">
    <mergeCell ref="C1:F1"/>
    <mergeCell ref="A3:F3"/>
    <mergeCell ref="A4:F4"/>
    <mergeCell ref="C7:F7"/>
  </mergeCells>
  <printOptions horizontalCentered="1"/>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sheetPr codeName="Munka24">
    <tabColor indexed="43"/>
  </sheetPr>
  <dimension ref="A1:E23"/>
  <sheetViews>
    <sheetView workbookViewId="0" topLeftCell="A1">
      <selection activeCell="F58" sqref="F58"/>
    </sheetView>
  </sheetViews>
  <sheetFormatPr defaultColWidth="9.140625" defaultRowHeight="12.75"/>
  <cols>
    <col min="1" max="1" width="3.57421875" style="110" customWidth="1"/>
    <col min="2" max="2" width="5.57421875" style="110" customWidth="1"/>
    <col min="3" max="3" width="47.421875" style="110" customWidth="1"/>
    <col min="4" max="4" width="22.00390625" style="110" customWidth="1"/>
    <col min="5" max="16384" width="9.140625" style="110" customWidth="1"/>
  </cols>
  <sheetData>
    <row r="1" spans="1:5" ht="4.5" customHeight="1">
      <c r="A1" s="1907"/>
      <c r="B1" s="1907"/>
      <c r="C1" s="1907"/>
      <c r="D1" s="1907"/>
      <c r="E1" s="109"/>
    </row>
    <row r="2" spans="4:5" ht="15">
      <c r="D2" s="111" t="s">
        <v>401</v>
      </c>
      <c r="E2" s="109"/>
    </row>
    <row r="3" spans="4:5" ht="15">
      <c r="D3" s="111"/>
      <c r="E3" s="109"/>
    </row>
    <row r="4" ht="15">
      <c r="E4" s="109"/>
    </row>
    <row r="5" spans="1:4" ht="20.25" customHeight="1">
      <c r="A5" s="1907" t="s">
        <v>1147</v>
      </c>
      <c r="B5" s="1907"/>
      <c r="C5" s="1907"/>
      <c r="D5" s="1907"/>
    </row>
    <row r="6" spans="1:4" s="112" customFormat="1" ht="19.5" customHeight="1">
      <c r="A6" s="1907" t="s">
        <v>750</v>
      </c>
      <c r="B6" s="1907"/>
      <c r="C6" s="1907"/>
      <c r="D6" s="1907"/>
    </row>
    <row r="7" spans="1:4" s="112" customFormat="1" ht="19.5" customHeight="1">
      <c r="A7" s="1359"/>
      <c r="B7" s="1359"/>
      <c r="C7" s="1359"/>
      <c r="D7" s="1359"/>
    </row>
    <row r="8" ht="12" customHeight="1"/>
    <row r="9" ht="15.75" customHeight="1">
      <c r="D9" s="350" t="s">
        <v>384</v>
      </c>
    </row>
    <row r="10" spans="1:4" ht="37.5" customHeight="1">
      <c r="A10" s="112"/>
      <c r="B10" s="113" t="s">
        <v>1148</v>
      </c>
      <c r="C10" s="114" t="s">
        <v>1149</v>
      </c>
      <c r="D10" s="115" t="s">
        <v>1150</v>
      </c>
    </row>
    <row r="11" spans="1:4" ht="33.75" customHeight="1">
      <c r="A11" s="112"/>
      <c r="B11" s="1315" t="s">
        <v>194</v>
      </c>
      <c r="C11" s="1316" t="s">
        <v>629</v>
      </c>
      <c r="D11" s="1317">
        <f>SUM('2.b.a élelmezés'!G40)</f>
        <v>141752</v>
      </c>
    </row>
    <row r="12" spans="2:4" ht="27.75" customHeight="1">
      <c r="B12" s="116" t="s">
        <v>196</v>
      </c>
      <c r="C12" s="117" t="s">
        <v>1151</v>
      </c>
      <c r="D12" s="118">
        <v>13974</v>
      </c>
    </row>
    <row r="13" spans="2:4" ht="27.75" customHeight="1">
      <c r="B13" s="119" t="s">
        <v>257</v>
      </c>
      <c r="C13" s="120" t="s">
        <v>1152</v>
      </c>
      <c r="D13" s="121">
        <f>SUM(D15:D19)</f>
        <v>128368</v>
      </c>
    </row>
    <row r="14" spans="2:4" ht="27.75" customHeight="1">
      <c r="B14" s="122"/>
      <c r="C14" s="348" t="s">
        <v>1153</v>
      </c>
      <c r="D14" s="123"/>
    </row>
    <row r="15" spans="2:4" ht="25.5" customHeight="1">
      <c r="B15" s="122"/>
      <c r="C15" s="348" t="s">
        <v>1154</v>
      </c>
      <c r="D15" s="215">
        <v>382</v>
      </c>
    </row>
    <row r="16" spans="2:4" ht="25.5" customHeight="1">
      <c r="B16" s="122"/>
      <c r="C16" s="348" t="s">
        <v>1155</v>
      </c>
      <c r="D16" s="215">
        <v>1099</v>
      </c>
    </row>
    <row r="17" spans="2:4" ht="25.5" customHeight="1">
      <c r="B17" s="122"/>
      <c r="C17" s="348" t="s">
        <v>1156</v>
      </c>
      <c r="D17" s="215">
        <v>866</v>
      </c>
    </row>
    <row r="18" spans="2:4" ht="25.5" customHeight="1">
      <c r="B18" s="122"/>
      <c r="C18" s="348" t="s">
        <v>1157</v>
      </c>
      <c r="D18" s="215"/>
    </row>
    <row r="19" spans="2:4" ht="25.5" customHeight="1">
      <c r="B19" s="124"/>
      <c r="C19" s="349" t="s">
        <v>1158</v>
      </c>
      <c r="D19" s="216">
        <v>126021</v>
      </c>
    </row>
    <row r="20" spans="2:4" ht="24.75" customHeight="1">
      <c r="B20" s="1908" t="s">
        <v>1350</v>
      </c>
      <c r="C20" s="1909"/>
      <c r="D20" s="125">
        <f>SUM(D11:D13)</f>
        <v>284094</v>
      </c>
    </row>
    <row r="21" spans="2:4" ht="24.75" customHeight="1">
      <c r="B21" s="1335"/>
      <c r="C21" s="1335"/>
      <c r="D21" s="1336"/>
    </row>
    <row r="22" spans="2:4" ht="34.5" customHeight="1">
      <c r="B22" s="1910" t="s">
        <v>449</v>
      </c>
      <c r="C22" s="1910"/>
      <c r="D22" s="1910"/>
    </row>
    <row r="23" spans="2:4" ht="96" customHeight="1">
      <c r="B23" s="1906" t="s">
        <v>973</v>
      </c>
      <c r="C23" s="1906"/>
      <c r="D23" s="1906"/>
    </row>
    <row r="28" ht="41.25" customHeight="1"/>
  </sheetData>
  <mergeCells count="6">
    <mergeCell ref="B23:D23"/>
    <mergeCell ref="A1:D1"/>
    <mergeCell ref="A5:D5"/>
    <mergeCell ref="A6:D6"/>
    <mergeCell ref="B20:C20"/>
    <mergeCell ref="B22:D22"/>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worksheet>
</file>

<file path=xl/worksheets/sheet24.xml><?xml version="1.0" encoding="utf-8"?>
<worksheet xmlns="http://schemas.openxmlformats.org/spreadsheetml/2006/main" xmlns:r="http://schemas.openxmlformats.org/officeDocument/2006/relationships">
  <sheetPr codeName="Munka26">
    <tabColor indexed="43"/>
  </sheetPr>
  <dimension ref="A1:N33"/>
  <sheetViews>
    <sheetView workbookViewId="0" topLeftCell="B5">
      <selection activeCell="F58" sqref="F58"/>
    </sheetView>
  </sheetViews>
  <sheetFormatPr defaultColWidth="9.140625" defaultRowHeight="12.75"/>
  <cols>
    <col min="1" max="1" width="5.28125" style="33" customWidth="1"/>
    <col min="2" max="2" width="40.00390625" style="33" customWidth="1"/>
    <col min="3" max="4" width="10.7109375" style="33" customWidth="1"/>
    <col min="5" max="5" width="12.140625" style="33" customWidth="1"/>
    <col min="6" max="6" width="12.7109375" style="33" customWidth="1"/>
    <col min="7" max="7" width="10.7109375" style="33" customWidth="1"/>
    <col min="8" max="8" width="2.140625" style="33" customWidth="1"/>
    <col min="9" max="9" width="26.00390625" style="33" customWidth="1"/>
    <col min="10" max="10" width="10.421875" style="33" customWidth="1"/>
    <col min="11" max="13" width="10.8515625" style="33" customWidth="1"/>
    <col min="14" max="16384" width="9.140625" style="33" customWidth="1"/>
  </cols>
  <sheetData>
    <row r="1" spans="12:14" ht="18" customHeight="1">
      <c r="L1" s="1911" t="s">
        <v>886</v>
      </c>
      <c r="M1" s="1911"/>
      <c r="N1" s="1911"/>
    </row>
    <row r="2" spans="1:14" s="34" customFormat="1" ht="15.75">
      <c r="A2" s="1924" t="s">
        <v>273</v>
      </c>
      <c r="B2" s="1924"/>
      <c r="C2" s="1924"/>
      <c r="D2" s="1924"/>
      <c r="E2" s="1924"/>
      <c r="F2" s="1924"/>
      <c r="G2" s="1924"/>
      <c r="H2" s="1924"/>
      <c r="I2" s="1924"/>
      <c r="J2" s="1924"/>
      <c r="K2" s="1924"/>
      <c r="L2" s="1924"/>
      <c r="M2" s="1924"/>
      <c r="N2" s="1924"/>
    </row>
    <row r="3" spans="1:14" ht="15.75">
      <c r="A3" s="1924" t="s">
        <v>749</v>
      </c>
      <c r="B3" s="1924"/>
      <c r="C3" s="1924"/>
      <c r="D3" s="1924"/>
      <c r="E3" s="1924"/>
      <c r="F3" s="1924"/>
      <c r="G3" s="1924"/>
      <c r="H3" s="1924"/>
      <c r="I3" s="1924"/>
      <c r="J3" s="1924"/>
      <c r="K3" s="1924"/>
      <c r="L3" s="1924"/>
      <c r="M3" s="1924"/>
      <c r="N3" s="1924"/>
    </row>
    <row r="4" ht="15.75">
      <c r="N4" s="254"/>
    </row>
    <row r="5" spans="2:14" ht="21" customHeight="1">
      <c r="B5" s="35"/>
      <c r="C5" s="35"/>
      <c r="D5" s="35"/>
      <c r="E5" s="35"/>
      <c r="F5" s="35"/>
      <c r="G5" s="35"/>
      <c r="H5" s="35"/>
      <c r="I5" s="35"/>
      <c r="J5" s="35"/>
      <c r="K5" s="255"/>
      <c r="L5" s="1923" t="s">
        <v>1402</v>
      </c>
      <c r="M5" s="1923"/>
      <c r="N5" s="1923"/>
    </row>
    <row r="6" spans="1:14" s="34" customFormat="1" ht="23.25" customHeight="1">
      <c r="A6" s="1917" t="s">
        <v>1159</v>
      </c>
      <c r="B6" s="1918"/>
      <c r="C6" s="126" t="s">
        <v>831</v>
      </c>
      <c r="D6" s="126" t="s">
        <v>809</v>
      </c>
      <c r="E6" s="127" t="s">
        <v>1067</v>
      </c>
      <c r="F6" s="127" t="s">
        <v>1171</v>
      </c>
      <c r="G6" s="351" t="s">
        <v>748</v>
      </c>
      <c r="H6" s="1921" t="s">
        <v>1160</v>
      </c>
      <c r="I6" s="1918"/>
      <c r="J6" s="126" t="s">
        <v>831</v>
      </c>
      <c r="K6" s="126" t="s">
        <v>809</v>
      </c>
      <c r="L6" s="127" t="s">
        <v>1067</v>
      </c>
      <c r="M6" s="127" t="s">
        <v>1171</v>
      </c>
      <c r="N6" s="351" t="s">
        <v>748</v>
      </c>
    </row>
    <row r="7" spans="1:14" s="34" customFormat="1" ht="23.25" customHeight="1">
      <c r="A7" s="1919"/>
      <c r="B7" s="1920"/>
      <c r="C7" s="131" t="s">
        <v>1161</v>
      </c>
      <c r="D7" s="1914" t="s">
        <v>525</v>
      </c>
      <c r="E7" s="1915"/>
      <c r="F7" s="1915"/>
      <c r="G7" s="1916"/>
      <c r="H7" s="1922"/>
      <c r="I7" s="1920"/>
      <c r="J7" s="131" t="s">
        <v>1161</v>
      </c>
      <c r="K7" s="1914" t="s">
        <v>525</v>
      </c>
      <c r="L7" s="1915"/>
      <c r="M7" s="1915"/>
      <c r="N7" s="1916"/>
    </row>
    <row r="8" spans="1:14" ht="15.75">
      <c r="A8" s="128"/>
      <c r="B8" s="35"/>
      <c r="C8" s="35"/>
      <c r="D8" s="35"/>
      <c r="E8" s="35"/>
      <c r="F8" s="35"/>
      <c r="G8" s="354"/>
      <c r="H8" s="35"/>
      <c r="I8" s="35"/>
      <c r="J8" s="35"/>
      <c r="K8" s="35"/>
      <c r="L8" s="35"/>
      <c r="M8" s="35"/>
      <c r="N8" s="256"/>
    </row>
    <row r="9" spans="1:14" s="34" customFormat="1" ht="15.75">
      <c r="A9" s="129" t="s">
        <v>173</v>
      </c>
      <c r="B9" s="36" t="s">
        <v>1162</v>
      </c>
      <c r="C9" s="37">
        <f>SUM(C11:C13)</f>
        <v>9344.494999999999</v>
      </c>
      <c r="D9" s="37">
        <v>8508</v>
      </c>
      <c r="E9" s="37">
        <f>SUM(E11,E13)</f>
        <v>8087.66779210112</v>
      </c>
      <c r="F9" s="37">
        <f>SUM(F11,F13)</f>
        <v>8656</v>
      </c>
      <c r="G9" s="355">
        <f>SUM(G11,G13)</f>
        <v>9328</v>
      </c>
      <c r="H9" s="37"/>
      <c r="I9" s="1912" t="s">
        <v>1163</v>
      </c>
      <c r="J9" s="37"/>
      <c r="K9" s="37"/>
      <c r="L9" s="37"/>
      <c r="M9" s="37"/>
      <c r="N9" s="256"/>
    </row>
    <row r="10" spans="1:14" ht="19.5" customHeight="1">
      <c r="A10" s="128"/>
      <c r="B10" s="35"/>
      <c r="C10" s="35"/>
      <c r="D10" s="35"/>
      <c r="E10" s="35"/>
      <c r="F10" s="35"/>
      <c r="G10" s="354"/>
      <c r="H10" s="35"/>
      <c r="I10" s="1913"/>
      <c r="J10" s="37">
        <f>'[7]1.sz. Mérleg'!$J$9/1000</f>
        <v>13475.22</v>
      </c>
      <c r="K10" s="37">
        <v>12026</v>
      </c>
      <c r="L10" s="37">
        <f>'1. sz. melléklet'!D8/1000</f>
        <v>11059.314</v>
      </c>
      <c r="M10" s="37">
        <v>10889</v>
      </c>
      <c r="N10" s="256">
        <v>10000</v>
      </c>
    </row>
    <row r="11" spans="1:14" ht="19.5" customHeight="1">
      <c r="A11" s="128" t="s">
        <v>194</v>
      </c>
      <c r="B11" s="42" t="s">
        <v>1343</v>
      </c>
      <c r="C11" s="35">
        <f>'[7]1.sz. Mérleg'!$D$11/1000</f>
        <v>1297.75</v>
      </c>
      <c r="D11" s="38">
        <v>1079</v>
      </c>
      <c r="E11" s="38">
        <f>'1. sz. melléklet'!B10/1000</f>
        <v>933.62879210112</v>
      </c>
      <c r="F11" s="1318">
        <v>907</v>
      </c>
      <c r="G11" s="1319">
        <v>910</v>
      </c>
      <c r="H11" s="35"/>
      <c r="I11" s="1912" t="s">
        <v>119</v>
      </c>
      <c r="J11" s="37"/>
      <c r="K11" s="37"/>
      <c r="L11" s="37"/>
      <c r="M11" s="37"/>
      <c r="N11" s="256"/>
    </row>
    <row r="12" spans="1:14" ht="20.25" customHeight="1">
      <c r="A12" s="128"/>
      <c r="B12" s="42"/>
      <c r="C12" s="35"/>
      <c r="D12" s="38"/>
      <c r="E12" s="39"/>
      <c r="F12" s="1320"/>
      <c r="G12" s="1321"/>
      <c r="H12" s="35"/>
      <c r="I12" s="1913"/>
      <c r="J12" s="37">
        <f>'[7]1.sz. Mérleg'!$J$13/1000</f>
        <v>11067.345</v>
      </c>
      <c r="K12" s="37">
        <v>9627</v>
      </c>
      <c r="L12" s="37">
        <f>'1. sz. melléklet'!D12/1000</f>
        <v>9794.941453</v>
      </c>
      <c r="M12" s="37">
        <v>9000</v>
      </c>
      <c r="N12" s="256">
        <v>8516</v>
      </c>
    </row>
    <row r="13" spans="1:14" ht="19.5" customHeight="1">
      <c r="A13" s="128" t="s">
        <v>196</v>
      </c>
      <c r="B13" s="42" t="s">
        <v>1164</v>
      </c>
      <c r="C13" s="35">
        <f>('[7]1.sz. Mérleg'!$D$9-'[7]1.sz. Mérleg'!$D$11)/1000</f>
        <v>8046.745</v>
      </c>
      <c r="D13" s="38">
        <v>7430</v>
      </c>
      <c r="E13" s="38">
        <f>SUM('1. sz. melléklet'!B12)/1000</f>
        <v>7154.039</v>
      </c>
      <c r="F13" s="1318">
        <v>7749</v>
      </c>
      <c r="G13" s="1319">
        <v>8418</v>
      </c>
      <c r="H13" s="35"/>
      <c r="I13" s="35"/>
      <c r="J13" s="35"/>
      <c r="K13" s="35"/>
      <c r="L13" s="35"/>
      <c r="M13" s="35"/>
      <c r="N13" s="256"/>
    </row>
    <row r="14" spans="1:14" ht="15.75">
      <c r="A14" s="128"/>
      <c r="B14" s="35"/>
      <c r="C14" s="35"/>
      <c r="D14" s="35"/>
      <c r="E14" s="35"/>
      <c r="F14" s="1322"/>
      <c r="G14" s="1323"/>
      <c r="H14" s="35"/>
      <c r="I14" s="37" t="s">
        <v>114</v>
      </c>
      <c r="J14" s="35"/>
      <c r="K14" s="35"/>
      <c r="L14" s="35"/>
      <c r="M14" s="35"/>
      <c r="N14" s="256"/>
    </row>
    <row r="15" spans="1:14" s="34" customFormat="1" ht="15.75">
      <c r="A15" s="129" t="s">
        <v>951</v>
      </c>
      <c r="B15" s="36" t="s">
        <v>1165</v>
      </c>
      <c r="C15" s="37">
        <f>'[7]1.sz. Mérleg'!$D$31/1000</f>
        <v>8641.352</v>
      </c>
      <c r="D15" s="37">
        <v>6736</v>
      </c>
      <c r="E15" s="1256">
        <f>SUM('1. sz. melléklet'!B29)/1000</f>
        <v>6560.255</v>
      </c>
      <c r="F15" s="1324">
        <v>6300</v>
      </c>
      <c r="G15" s="1325">
        <v>6200</v>
      </c>
      <c r="H15" s="37"/>
      <c r="I15" s="37" t="s">
        <v>1166</v>
      </c>
      <c r="J15" s="37"/>
      <c r="K15" s="37"/>
      <c r="L15" s="37"/>
      <c r="M15" s="37"/>
      <c r="N15" s="256"/>
    </row>
    <row r="16" spans="1:14" ht="20.25" customHeight="1">
      <c r="A16" s="128"/>
      <c r="B16" s="35"/>
      <c r="C16" s="35"/>
      <c r="D16" s="35"/>
      <c r="E16" s="35"/>
      <c r="F16" s="1322"/>
      <c r="G16" s="1323"/>
      <c r="H16" s="35"/>
      <c r="I16" s="352" t="s">
        <v>1167</v>
      </c>
      <c r="J16" s="37">
        <v>13</v>
      </c>
      <c r="K16" s="37">
        <v>6</v>
      </c>
      <c r="L16" s="37">
        <f>'1. sz. melléklet'!D29/1000</f>
        <v>7.5</v>
      </c>
      <c r="M16" s="37">
        <v>6</v>
      </c>
      <c r="N16" s="256">
        <v>6</v>
      </c>
    </row>
    <row r="17" spans="1:14" ht="20.25" customHeight="1">
      <c r="A17" s="130" t="s">
        <v>198</v>
      </c>
      <c r="B17" s="36" t="s">
        <v>1168</v>
      </c>
      <c r="C17" s="37">
        <f>'[7]1.sz. Mérleg'!$D$41/1000</f>
        <v>1327.544</v>
      </c>
      <c r="D17" s="37">
        <v>1074</v>
      </c>
      <c r="E17" s="37">
        <f>SUM('1. sz. melléklet'!B38)/1000</f>
        <v>1164.556</v>
      </c>
      <c r="F17" s="1324">
        <v>1047</v>
      </c>
      <c r="G17" s="1325">
        <v>1079</v>
      </c>
      <c r="H17" s="35"/>
      <c r="I17" s="35"/>
      <c r="J17" s="35"/>
      <c r="K17" s="35"/>
      <c r="L17" s="35"/>
      <c r="M17" s="35"/>
      <c r="N17" s="256"/>
    </row>
    <row r="18" spans="1:14" ht="17.25" customHeight="1">
      <c r="A18" s="130"/>
      <c r="B18" s="40"/>
      <c r="C18" s="41"/>
      <c r="D18" s="37"/>
      <c r="E18" s="37"/>
      <c r="F18" s="37"/>
      <c r="G18" s="355"/>
      <c r="H18" s="35"/>
      <c r="I18" s="35"/>
      <c r="J18" s="35"/>
      <c r="K18" s="35"/>
      <c r="L18" s="35"/>
      <c r="M18" s="35"/>
      <c r="N18" s="256"/>
    </row>
    <row r="19" spans="1:14" ht="15.75">
      <c r="A19" s="130" t="s">
        <v>259</v>
      </c>
      <c r="B19" s="36" t="s">
        <v>260</v>
      </c>
      <c r="C19" s="37">
        <f>'[7]1.sz. Mérleg'!$D$47/1000</f>
        <v>3839.71</v>
      </c>
      <c r="D19" s="37">
        <v>2564</v>
      </c>
      <c r="E19" s="37">
        <f>'1. sz. melléklet'!B43/1000</f>
        <v>1246.261</v>
      </c>
      <c r="F19" s="37">
        <f>61+234+63+1020</f>
        <v>1378</v>
      </c>
      <c r="G19" s="355">
        <f>61+234+66+1040</f>
        <v>1401</v>
      </c>
      <c r="H19" s="35"/>
      <c r="I19" s="35"/>
      <c r="J19" s="35"/>
      <c r="K19" s="35"/>
      <c r="L19" s="35"/>
      <c r="M19" s="35"/>
      <c r="N19" s="256"/>
    </row>
    <row r="20" spans="1:14" ht="15.75">
      <c r="A20" s="130"/>
      <c r="B20" s="35"/>
      <c r="C20" s="35"/>
      <c r="D20" s="37"/>
      <c r="E20" s="37"/>
      <c r="F20" s="37"/>
      <c r="G20" s="355"/>
      <c r="H20" s="35"/>
      <c r="I20" s="35"/>
      <c r="J20" s="35"/>
      <c r="K20" s="35"/>
      <c r="L20" s="35"/>
      <c r="M20" s="35"/>
      <c r="N20" s="256"/>
    </row>
    <row r="21" spans="1:14" s="34" customFormat="1" ht="42.75">
      <c r="A21" s="130" t="s">
        <v>262</v>
      </c>
      <c r="B21" s="353" t="s">
        <v>1169</v>
      </c>
      <c r="C21" s="37">
        <v>15</v>
      </c>
      <c r="D21" s="37">
        <v>14</v>
      </c>
      <c r="E21" s="37">
        <f>'1. sz. melléklet'!B52/1000</f>
        <v>11.7</v>
      </c>
      <c r="F21" s="37">
        <v>14</v>
      </c>
      <c r="G21" s="355">
        <v>14</v>
      </c>
      <c r="H21" s="37"/>
      <c r="I21" s="37"/>
      <c r="J21" s="37"/>
      <c r="K21" s="37"/>
      <c r="L21" s="37"/>
      <c r="M21" s="37"/>
      <c r="N21" s="256"/>
    </row>
    <row r="22" spans="1:14" ht="15.75">
      <c r="A22" s="130"/>
      <c r="B22" s="42"/>
      <c r="C22" s="35"/>
      <c r="D22" s="37"/>
      <c r="E22" s="37"/>
      <c r="F22" s="37"/>
      <c r="G22" s="355"/>
      <c r="H22" s="35"/>
      <c r="I22" s="35"/>
      <c r="J22" s="35"/>
      <c r="K22" s="35"/>
      <c r="L22" s="35"/>
      <c r="M22" s="35"/>
      <c r="N22" s="256"/>
    </row>
    <row r="23" spans="1:14" ht="15.75">
      <c r="A23" s="130" t="s">
        <v>264</v>
      </c>
      <c r="B23" s="36" t="s">
        <v>345</v>
      </c>
      <c r="C23" s="41">
        <f>'[7]1.sz. Mérleg'!$D$60/1000</f>
        <v>1114.827</v>
      </c>
      <c r="D23" s="37">
        <v>396</v>
      </c>
      <c r="E23" s="37">
        <f>'1. sz. melléklet'!B53/1000+'1. sz. melléklet'!B54/1000</f>
        <v>2534.24625</v>
      </c>
      <c r="F23" s="37">
        <f>1871+629</f>
        <v>2500</v>
      </c>
      <c r="G23" s="355">
        <v>500</v>
      </c>
      <c r="H23" s="35"/>
      <c r="I23" s="35"/>
      <c r="J23" s="35"/>
      <c r="K23" s="35"/>
      <c r="L23" s="35"/>
      <c r="M23" s="35"/>
      <c r="N23" s="256"/>
    </row>
    <row r="24" spans="1:14" ht="18.75" customHeight="1">
      <c r="A24" s="130"/>
      <c r="B24" s="35"/>
      <c r="C24" s="35"/>
      <c r="D24" s="37"/>
      <c r="E24" s="37"/>
      <c r="F24" s="37"/>
      <c r="G24" s="355"/>
      <c r="H24" s="35"/>
      <c r="I24" s="35"/>
      <c r="J24" s="35"/>
      <c r="K24" s="35"/>
      <c r="L24" s="35"/>
      <c r="M24" s="35"/>
      <c r="N24" s="256"/>
    </row>
    <row r="25" spans="1:14" ht="15.75">
      <c r="A25" s="130" t="s">
        <v>265</v>
      </c>
      <c r="B25" s="36" t="s">
        <v>1170</v>
      </c>
      <c r="C25" s="37">
        <f>'[7]1.sz. Mérleg'!$D$64/1000</f>
        <v>773.118</v>
      </c>
      <c r="D25" s="37"/>
      <c r="E25" s="37"/>
      <c r="F25" s="37"/>
      <c r="G25" s="355"/>
      <c r="H25" s="35"/>
      <c r="I25" s="35"/>
      <c r="J25" s="35"/>
      <c r="K25" s="35"/>
      <c r="L25" s="35"/>
      <c r="M25" s="35"/>
      <c r="N25" s="256"/>
    </row>
    <row r="26" spans="1:14" ht="15.75">
      <c r="A26" s="130"/>
      <c r="B26" s="35"/>
      <c r="C26" s="41"/>
      <c r="D26" s="37"/>
      <c r="E26" s="37"/>
      <c r="F26" s="37"/>
      <c r="G26" s="355"/>
      <c r="H26" s="35"/>
      <c r="I26" s="35"/>
      <c r="J26" s="35"/>
      <c r="K26" s="35"/>
      <c r="L26" s="35"/>
      <c r="M26" s="35"/>
      <c r="N26" s="256"/>
    </row>
    <row r="27" spans="1:14" ht="15.75">
      <c r="A27" s="130" t="s">
        <v>1347</v>
      </c>
      <c r="B27" s="36" t="s">
        <v>100</v>
      </c>
      <c r="C27" s="37">
        <f>'[7]1.sz. Mérleg'!$D$62/1000</f>
        <v>4536.91</v>
      </c>
      <c r="D27" s="37"/>
      <c r="E27" s="37"/>
      <c r="F27" s="37"/>
      <c r="G27" s="355"/>
      <c r="H27" s="35"/>
      <c r="I27" s="35"/>
      <c r="J27" s="35"/>
      <c r="K27" s="35"/>
      <c r="L27" s="35"/>
      <c r="M27" s="35"/>
      <c r="N27" s="256"/>
    </row>
    <row r="28" spans="1:14" ht="15.75">
      <c r="A28" s="128"/>
      <c r="B28" s="35"/>
      <c r="C28" s="41"/>
      <c r="D28" s="37"/>
      <c r="E28" s="35"/>
      <c r="F28" s="35"/>
      <c r="G28" s="354"/>
      <c r="H28" s="35"/>
      <c r="I28" s="35"/>
      <c r="J28" s="35"/>
      <c r="K28" s="35"/>
      <c r="L28" s="35"/>
      <c r="M28" s="35"/>
      <c r="N28" s="256"/>
    </row>
    <row r="29" spans="1:14" ht="15.75">
      <c r="A29" s="129" t="s">
        <v>1349</v>
      </c>
      <c r="B29" s="36" t="s">
        <v>166</v>
      </c>
      <c r="C29" s="37">
        <f>SUM(C27,C25,C23,C21,C19,C17,C15,C9)</f>
        <v>29592.956000000002</v>
      </c>
      <c r="D29" s="37">
        <f>SUM(D27,D25,D23,D21,D19,D17,D15,D9)</f>
        <v>19292</v>
      </c>
      <c r="E29" s="37">
        <f>SUM(E27,E25,E23,E21,E19,E17,E15,E9)</f>
        <v>19604.686042101122</v>
      </c>
      <c r="F29" s="37">
        <f>SUM(F27,F25,F23,F21,F19,F17,F15,F9)</f>
        <v>19895</v>
      </c>
      <c r="G29" s="355">
        <f>SUM(G27,G25,G23,G21,G19,G17,G15,G9)</f>
        <v>18522</v>
      </c>
      <c r="H29" s="35"/>
      <c r="I29" s="35"/>
      <c r="J29" s="35"/>
      <c r="K29" s="35"/>
      <c r="L29" s="35"/>
      <c r="M29" s="35"/>
      <c r="N29" s="256"/>
    </row>
    <row r="30" spans="1:14" ht="15.75">
      <c r="A30" s="128"/>
      <c r="B30" s="35"/>
      <c r="C30" s="41"/>
      <c r="D30" s="35"/>
      <c r="E30" s="35"/>
      <c r="F30" s="35"/>
      <c r="G30" s="354"/>
      <c r="H30" s="35"/>
      <c r="I30" s="36" t="s">
        <v>168</v>
      </c>
      <c r="J30" s="41">
        <v>4254</v>
      </c>
      <c r="K30" s="41"/>
      <c r="L30" s="35"/>
      <c r="M30" s="35"/>
      <c r="N30" s="256"/>
    </row>
    <row r="31" spans="1:14" ht="15.75">
      <c r="A31" s="128"/>
      <c r="B31" s="36" t="s">
        <v>1068</v>
      </c>
      <c r="C31" s="37"/>
      <c r="D31" s="37">
        <v>2367</v>
      </c>
      <c r="E31" s="37">
        <f>SUM('1. sz. melléklet'!B61)/1000</f>
        <v>1257.069410898883</v>
      </c>
      <c r="F31" s="37">
        <f>M33-F29</f>
        <v>0</v>
      </c>
      <c r="G31" s="355">
        <f>N33-G29</f>
        <v>0</v>
      </c>
      <c r="H31" s="35"/>
      <c r="I31" s="35"/>
      <c r="J31" s="35"/>
      <c r="K31" s="35"/>
      <c r="L31" s="35"/>
      <c r="M31" s="35"/>
      <c r="N31" s="256"/>
    </row>
    <row r="32" spans="1:14" ht="15.75">
      <c r="A32" s="128"/>
      <c r="B32" s="35"/>
      <c r="C32" s="35"/>
      <c r="D32" s="35"/>
      <c r="E32" s="35"/>
      <c r="F32" s="35"/>
      <c r="G32" s="354"/>
      <c r="H32" s="35"/>
      <c r="I32" s="35"/>
      <c r="J32" s="35"/>
      <c r="K32" s="35"/>
      <c r="L32" s="35"/>
      <c r="M32" s="35"/>
      <c r="N32" s="256"/>
    </row>
    <row r="33" spans="1:14" s="34" customFormat="1" ht="31.5" customHeight="1">
      <c r="A33" s="361" t="s">
        <v>169</v>
      </c>
      <c r="B33" s="461"/>
      <c r="C33" s="132">
        <f>SUM(C31,C29)</f>
        <v>29592.956000000002</v>
      </c>
      <c r="D33" s="132">
        <f>SUM(D31,D29)</f>
        <v>21659</v>
      </c>
      <c r="E33" s="132">
        <f>SUM(E31,E29)</f>
        <v>20861.755453000005</v>
      </c>
      <c r="F33" s="132">
        <f>SUM(F31,F29)</f>
        <v>19895</v>
      </c>
      <c r="G33" s="462">
        <f>SUM(G31,G29)</f>
        <v>18522</v>
      </c>
      <c r="H33" s="132"/>
      <c r="I33" s="132" t="s">
        <v>169</v>
      </c>
      <c r="J33" s="132">
        <f>SUM(J30,J16,J12,J10)</f>
        <v>28809.565</v>
      </c>
      <c r="K33" s="132">
        <f>SUM(K30,K16,K12,K10)</f>
        <v>21659</v>
      </c>
      <c r="L33" s="132">
        <f>SUM(L16,L12,L10)</f>
        <v>20861.755452999998</v>
      </c>
      <c r="M33" s="132">
        <f>SUM(M16,M12,M10)</f>
        <v>19895</v>
      </c>
      <c r="N33" s="462">
        <f>SUM(N16,N12,N10)</f>
        <v>18522</v>
      </c>
    </row>
  </sheetData>
  <mergeCells count="10">
    <mergeCell ref="A6:B7"/>
    <mergeCell ref="H6:I7"/>
    <mergeCell ref="L5:N5"/>
    <mergeCell ref="A2:N2"/>
    <mergeCell ref="A3:N3"/>
    <mergeCell ref="L1:N1"/>
    <mergeCell ref="I9:I10"/>
    <mergeCell ref="I11:I12"/>
    <mergeCell ref="D7:G7"/>
    <mergeCell ref="K7:N7"/>
  </mergeCells>
  <printOptions/>
  <pageMargins left="0.64" right="0.7874015748031497" top="0.984251968503937" bottom="0.984251968503937" header="0.5118110236220472" footer="0.5118110236220472"/>
  <pageSetup horizontalDpi="600" verticalDpi="600" orientation="landscape" paperSize="9" scale="73" r:id="rId1"/>
</worksheet>
</file>

<file path=xl/worksheets/sheet25.xml><?xml version="1.0" encoding="utf-8"?>
<worksheet xmlns="http://schemas.openxmlformats.org/spreadsheetml/2006/main" xmlns:r="http://schemas.openxmlformats.org/officeDocument/2006/relationships">
  <sheetPr>
    <tabColor indexed="43"/>
  </sheetPr>
  <dimension ref="A1:S77"/>
  <sheetViews>
    <sheetView zoomScale="75" zoomScaleNormal="75" workbookViewId="0" topLeftCell="A1">
      <selection activeCell="F58" sqref="F58"/>
    </sheetView>
  </sheetViews>
  <sheetFormatPr defaultColWidth="9.140625" defaultRowHeight="12.75"/>
  <cols>
    <col min="1" max="1" width="53.7109375" style="265" customWidth="1"/>
    <col min="2" max="2" width="12.140625" style="265" customWidth="1"/>
    <col min="3" max="9" width="11.00390625" style="264" customWidth="1"/>
    <col min="10" max="14" width="11.00390625" style="265" customWidth="1"/>
    <col min="15" max="19" width="9.140625" style="264" customWidth="1"/>
    <col min="20" max="16384" width="9.140625" style="265" customWidth="1"/>
  </cols>
  <sheetData>
    <row r="1" spans="14:19" s="274" customFormat="1" ht="15.75">
      <c r="N1" s="18" t="s">
        <v>1271</v>
      </c>
      <c r="O1" s="42"/>
      <c r="P1" s="42"/>
      <c r="Q1" s="42"/>
      <c r="R1" s="42"/>
      <c r="S1" s="42"/>
    </row>
    <row r="2" spans="14:19" s="274" customFormat="1" ht="15.75">
      <c r="N2" s="18"/>
      <c r="O2" s="42"/>
      <c r="P2" s="42"/>
      <c r="Q2" s="42"/>
      <c r="R2" s="42"/>
      <c r="S2" s="42"/>
    </row>
    <row r="3" spans="1:19" s="274" customFormat="1" ht="19.5" customHeight="1">
      <c r="A3" s="1465" t="s">
        <v>111</v>
      </c>
      <c r="B3" s="1465"/>
      <c r="C3" s="1465"/>
      <c r="D3" s="1465"/>
      <c r="E3" s="1465"/>
      <c r="F3" s="1465"/>
      <c r="G3" s="1465"/>
      <c r="H3" s="1465"/>
      <c r="I3" s="1465"/>
      <c r="J3" s="1465"/>
      <c r="K3" s="1465"/>
      <c r="L3" s="1465"/>
      <c r="M3" s="1465"/>
      <c r="N3" s="1465"/>
      <c r="O3" s="42"/>
      <c r="P3" s="42"/>
      <c r="Q3" s="42"/>
      <c r="R3" s="42"/>
      <c r="S3" s="42"/>
    </row>
    <row r="4" spans="1:19" s="274" customFormat="1" ht="19.5" customHeight="1">
      <c r="A4" s="1465" t="s">
        <v>747</v>
      </c>
      <c r="B4" s="1465"/>
      <c r="C4" s="1465"/>
      <c r="D4" s="1465"/>
      <c r="E4" s="1465"/>
      <c r="F4" s="1465"/>
      <c r="G4" s="1465"/>
      <c r="H4" s="1465"/>
      <c r="I4" s="1465"/>
      <c r="J4" s="1465"/>
      <c r="K4" s="1465"/>
      <c r="L4" s="1465"/>
      <c r="M4" s="1465"/>
      <c r="N4" s="1465"/>
      <c r="O4" s="42"/>
      <c r="P4" s="42"/>
      <c r="Q4" s="42"/>
      <c r="R4" s="42"/>
      <c r="S4" s="42"/>
    </row>
    <row r="5" spans="1:19" s="274" customFormat="1" ht="19.5" customHeight="1">
      <c r="A5" s="253"/>
      <c r="B5" s="253"/>
      <c r="C5" s="253"/>
      <c r="D5" s="253"/>
      <c r="E5" s="253"/>
      <c r="F5" s="253"/>
      <c r="G5" s="253"/>
      <c r="H5" s="253"/>
      <c r="I5" s="253"/>
      <c r="J5" s="253"/>
      <c r="K5" s="253"/>
      <c r="L5" s="253"/>
      <c r="M5" s="253"/>
      <c r="N5" s="253"/>
      <c r="O5" s="42"/>
      <c r="P5" s="42"/>
      <c r="Q5" s="42"/>
      <c r="R5" s="42"/>
      <c r="S5" s="42"/>
    </row>
    <row r="6" spans="1:19" s="274" customFormat="1" ht="19.5" customHeight="1">
      <c r="A6" s="253"/>
      <c r="B6" s="253"/>
      <c r="C6" s="253"/>
      <c r="D6" s="253"/>
      <c r="E6" s="253"/>
      <c r="F6" s="253"/>
      <c r="G6" s="253"/>
      <c r="H6" s="253"/>
      <c r="I6" s="253"/>
      <c r="J6" s="253"/>
      <c r="K6" s="253"/>
      <c r="L6" s="1926" t="s">
        <v>388</v>
      </c>
      <c r="M6" s="1926"/>
      <c r="N6" s="1926"/>
      <c r="O6" s="42"/>
      <c r="P6" s="42"/>
      <c r="Q6" s="42"/>
      <c r="R6" s="42"/>
      <c r="S6" s="42"/>
    </row>
    <row r="7" spans="1:14" ht="5.25" customHeight="1">
      <c r="A7" s="1927" t="s">
        <v>112</v>
      </c>
      <c r="B7" s="1928" t="s">
        <v>638</v>
      </c>
      <c r="C7" s="1925" t="s">
        <v>463</v>
      </c>
      <c r="D7" s="1925" t="s">
        <v>464</v>
      </c>
      <c r="E7" s="1925" t="s">
        <v>465</v>
      </c>
      <c r="F7" s="1925" t="s">
        <v>466</v>
      </c>
      <c r="G7" s="1925" t="s">
        <v>467</v>
      </c>
      <c r="H7" s="1925" t="s">
        <v>468</v>
      </c>
      <c r="I7" s="1925" t="s">
        <v>469</v>
      </c>
      <c r="J7" s="1925" t="s">
        <v>470</v>
      </c>
      <c r="K7" s="1925" t="s">
        <v>471</v>
      </c>
      <c r="L7" s="1925" t="s">
        <v>472</v>
      </c>
      <c r="M7" s="1925" t="s">
        <v>473</v>
      </c>
      <c r="N7" s="1929" t="s">
        <v>474</v>
      </c>
    </row>
    <row r="8" spans="1:14" ht="15">
      <c r="A8" s="1927"/>
      <c r="B8" s="1928"/>
      <c r="C8" s="1925"/>
      <c r="D8" s="1925" t="s">
        <v>475</v>
      </c>
      <c r="E8" s="1925" t="s">
        <v>476</v>
      </c>
      <c r="F8" s="1925"/>
      <c r="G8" s="1925"/>
      <c r="H8" s="1925"/>
      <c r="I8" s="1925"/>
      <c r="J8" s="1925"/>
      <c r="K8" s="1925"/>
      <c r="L8" s="1925"/>
      <c r="M8" s="1925"/>
      <c r="N8" s="1929"/>
    </row>
    <row r="9" spans="1:14" ht="47.25" customHeight="1">
      <c r="A9" s="1927"/>
      <c r="B9" s="1928"/>
      <c r="C9" s="1925"/>
      <c r="D9" s="1925"/>
      <c r="E9" s="1925"/>
      <c r="F9" s="1925"/>
      <c r="G9" s="1925"/>
      <c r="H9" s="1925"/>
      <c r="I9" s="1925"/>
      <c r="J9" s="1925"/>
      <c r="K9" s="1925"/>
      <c r="L9" s="1925"/>
      <c r="M9" s="1925"/>
      <c r="N9" s="1929"/>
    </row>
    <row r="10" spans="1:14" ht="25.5" customHeight="1">
      <c r="A10" s="356" t="s">
        <v>1069</v>
      </c>
      <c r="B10" s="322">
        <f>SUM(C10:N10)</f>
        <v>8188</v>
      </c>
      <c r="C10" s="323">
        <v>400</v>
      </c>
      <c r="D10" s="323">
        <v>400</v>
      </c>
      <c r="E10" s="323">
        <f>2000+50</f>
        <v>2050</v>
      </c>
      <c r="F10" s="323">
        <v>400</v>
      </c>
      <c r="G10" s="323">
        <v>400</v>
      </c>
      <c r="H10" s="323">
        <f>385+50</f>
        <v>435</v>
      </c>
      <c r="I10" s="323">
        <v>309</v>
      </c>
      <c r="J10" s="323">
        <v>1147</v>
      </c>
      <c r="K10" s="323">
        <v>1200</v>
      </c>
      <c r="L10" s="323">
        <v>400</v>
      </c>
      <c r="M10" s="323">
        <v>500</v>
      </c>
      <c r="N10" s="324">
        <v>547</v>
      </c>
    </row>
    <row r="11" spans="1:14" ht="15" hidden="1">
      <c r="A11" s="145"/>
      <c r="B11" s="3"/>
      <c r="C11" s="304"/>
      <c r="D11" s="304"/>
      <c r="E11" s="304"/>
      <c r="F11" s="304"/>
      <c r="G11" s="304"/>
      <c r="H11" s="304"/>
      <c r="I11" s="304"/>
      <c r="J11" s="304"/>
      <c r="K11" s="304"/>
      <c r="L11" s="304"/>
      <c r="M11" s="304"/>
      <c r="N11" s="143"/>
    </row>
    <row r="12" spans="1:14" ht="15" hidden="1">
      <c r="A12" s="145" t="s">
        <v>117</v>
      </c>
      <c r="B12" s="3"/>
      <c r="C12" s="304"/>
      <c r="D12" s="304"/>
      <c r="E12" s="304"/>
      <c r="F12" s="304"/>
      <c r="G12" s="304"/>
      <c r="H12" s="304"/>
      <c r="I12" s="304"/>
      <c r="J12" s="304"/>
      <c r="K12" s="304"/>
      <c r="L12" s="304"/>
      <c r="M12" s="304"/>
      <c r="N12" s="143"/>
    </row>
    <row r="13" spans="1:14" ht="15" hidden="1">
      <c r="A13" s="145"/>
      <c r="B13" s="3"/>
      <c r="C13" s="304"/>
      <c r="D13" s="304"/>
      <c r="E13" s="304"/>
      <c r="F13" s="304"/>
      <c r="G13" s="304"/>
      <c r="H13" s="304"/>
      <c r="I13" s="304"/>
      <c r="J13" s="304"/>
      <c r="K13" s="304"/>
      <c r="L13" s="304"/>
      <c r="M13" s="304"/>
      <c r="N13" s="143"/>
    </row>
    <row r="14" spans="1:14" ht="15" hidden="1">
      <c r="A14" s="145" t="s">
        <v>118</v>
      </c>
      <c r="B14" s="3"/>
      <c r="C14" s="304"/>
      <c r="D14" s="304"/>
      <c r="E14" s="304"/>
      <c r="F14" s="304"/>
      <c r="G14" s="304"/>
      <c r="H14" s="304"/>
      <c r="I14" s="304"/>
      <c r="J14" s="304"/>
      <c r="K14" s="304"/>
      <c r="L14" s="304"/>
      <c r="M14" s="304"/>
      <c r="N14" s="143"/>
    </row>
    <row r="15" spans="1:14" ht="15" hidden="1">
      <c r="A15" s="145" t="s">
        <v>120</v>
      </c>
      <c r="B15" s="3"/>
      <c r="C15" s="304"/>
      <c r="D15" s="304"/>
      <c r="E15" s="304"/>
      <c r="F15" s="304"/>
      <c r="G15" s="304"/>
      <c r="H15" s="304"/>
      <c r="I15" s="304"/>
      <c r="J15" s="304"/>
      <c r="K15" s="304"/>
      <c r="L15" s="304"/>
      <c r="M15" s="304"/>
      <c r="N15" s="143"/>
    </row>
    <row r="16" spans="1:14" ht="15" hidden="1">
      <c r="A16" s="145" t="s">
        <v>121</v>
      </c>
      <c r="B16" s="3"/>
      <c r="C16" s="304"/>
      <c r="D16" s="304"/>
      <c r="E16" s="304"/>
      <c r="F16" s="304"/>
      <c r="G16" s="304"/>
      <c r="H16" s="304"/>
      <c r="I16" s="304"/>
      <c r="J16" s="304"/>
      <c r="K16" s="304"/>
      <c r="L16" s="304"/>
      <c r="M16" s="304"/>
      <c r="N16" s="143"/>
    </row>
    <row r="17" spans="1:14" ht="15" hidden="1">
      <c r="A17" s="145" t="s">
        <v>218</v>
      </c>
      <c r="B17" s="3"/>
      <c r="C17" s="304"/>
      <c r="D17" s="304"/>
      <c r="E17" s="304"/>
      <c r="F17" s="304"/>
      <c r="G17" s="304"/>
      <c r="H17" s="304"/>
      <c r="I17" s="304"/>
      <c r="J17" s="304"/>
      <c r="K17" s="304"/>
      <c r="L17" s="304"/>
      <c r="M17" s="304"/>
      <c r="N17" s="143"/>
    </row>
    <row r="18" spans="1:14" ht="15" hidden="1">
      <c r="A18" s="305" t="s">
        <v>219</v>
      </c>
      <c r="B18" s="3"/>
      <c r="C18" s="304"/>
      <c r="D18" s="304"/>
      <c r="E18" s="304"/>
      <c r="F18" s="304"/>
      <c r="G18" s="304"/>
      <c r="H18" s="304"/>
      <c r="I18" s="304"/>
      <c r="J18" s="304"/>
      <c r="K18" s="304"/>
      <c r="L18" s="304"/>
      <c r="M18" s="304"/>
      <c r="N18" s="143"/>
    </row>
    <row r="19" spans="1:14" ht="15" hidden="1">
      <c r="A19" s="305" t="s">
        <v>477</v>
      </c>
      <c r="B19" s="3"/>
      <c r="C19" s="304"/>
      <c r="D19" s="304"/>
      <c r="E19" s="304"/>
      <c r="F19" s="304"/>
      <c r="G19" s="304"/>
      <c r="H19" s="304"/>
      <c r="I19" s="304"/>
      <c r="J19" s="304"/>
      <c r="K19" s="304"/>
      <c r="L19" s="304"/>
      <c r="M19" s="304"/>
      <c r="N19" s="143"/>
    </row>
    <row r="20" spans="1:14" ht="15" hidden="1">
      <c r="A20" s="305" t="s">
        <v>478</v>
      </c>
      <c r="B20" s="3"/>
      <c r="C20" s="304"/>
      <c r="D20" s="304"/>
      <c r="E20" s="304"/>
      <c r="F20" s="304"/>
      <c r="G20" s="304"/>
      <c r="H20" s="304"/>
      <c r="I20" s="304"/>
      <c r="J20" s="304"/>
      <c r="K20" s="304"/>
      <c r="L20" s="304"/>
      <c r="M20" s="304"/>
      <c r="N20" s="143"/>
    </row>
    <row r="21" spans="1:14" ht="15" hidden="1">
      <c r="A21" s="145" t="s">
        <v>220</v>
      </c>
      <c r="B21" s="3"/>
      <c r="C21" s="304"/>
      <c r="D21" s="304"/>
      <c r="E21" s="304"/>
      <c r="F21" s="304"/>
      <c r="G21" s="304"/>
      <c r="H21" s="304"/>
      <c r="I21" s="304"/>
      <c r="J21" s="304"/>
      <c r="K21" s="304"/>
      <c r="L21" s="304"/>
      <c r="M21" s="304"/>
      <c r="N21" s="143"/>
    </row>
    <row r="22" spans="1:14" ht="15" hidden="1">
      <c r="A22" s="145" t="s">
        <v>221</v>
      </c>
      <c r="B22" s="3"/>
      <c r="C22" s="304"/>
      <c r="D22" s="304"/>
      <c r="E22" s="304"/>
      <c r="F22" s="304"/>
      <c r="G22" s="304"/>
      <c r="H22" s="304"/>
      <c r="I22" s="304"/>
      <c r="J22" s="304"/>
      <c r="K22" s="304"/>
      <c r="L22" s="304"/>
      <c r="M22" s="304"/>
      <c r="N22" s="143"/>
    </row>
    <row r="23" spans="1:14" ht="15" hidden="1">
      <c r="A23" s="305" t="s">
        <v>222</v>
      </c>
      <c r="B23" s="3"/>
      <c r="C23" s="304"/>
      <c r="D23" s="304"/>
      <c r="E23" s="304"/>
      <c r="F23" s="304"/>
      <c r="G23" s="304"/>
      <c r="H23" s="304"/>
      <c r="I23" s="304"/>
      <c r="J23" s="304"/>
      <c r="K23" s="304"/>
      <c r="L23" s="304"/>
      <c r="M23" s="304"/>
      <c r="N23" s="143"/>
    </row>
    <row r="24" spans="1:14" ht="15" hidden="1">
      <c r="A24" s="305" t="s">
        <v>223</v>
      </c>
      <c r="B24" s="3"/>
      <c r="C24" s="304"/>
      <c r="D24" s="304"/>
      <c r="E24" s="304"/>
      <c r="F24" s="304"/>
      <c r="G24" s="304"/>
      <c r="H24" s="304"/>
      <c r="I24" s="304"/>
      <c r="J24" s="304"/>
      <c r="K24" s="304"/>
      <c r="L24" s="304"/>
      <c r="M24" s="304"/>
      <c r="N24" s="143"/>
    </row>
    <row r="25" spans="1:14" ht="15" hidden="1">
      <c r="A25" s="305" t="s">
        <v>225</v>
      </c>
      <c r="B25" s="3"/>
      <c r="C25" s="304"/>
      <c r="D25" s="304"/>
      <c r="E25" s="304"/>
      <c r="F25" s="304"/>
      <c r="G25" s="304"/>
      <c r="H25" s="304"/>
      <c r="I25" s="304"/>
      <c r="J25" s="304"/>
      <c r="K25" s="304"/>
      <c r="L25" s="304"/>
      <c r="M25" s="304"/>
      <c r="N25" s="143"/>
    </row>
    <row r="26" spans="1:14" ht="15" hidden="1">
      <c r="A26" s="305" t="s">
        <v>1279</v>
      </c>
      <c r="B26" s="3"/>
      <c r="C26" s="304"/>
      <c r="D26" s="304"/>
      <c r="E26" s="304"/>
      <c r="F26" s="304"/>
      <c r="G26" s="304"/>
      <c r="H26" s="304"/>
      <c r="I26" s="304"/>
      <c r="J26" s="304"/>
      <c r="K26" s="304"/>
      <c r="L26" s="304"/>
      <c r="M26" s="304"/>
      <c r="N26" s="143"/>
    </row>
    <row r="27" spans="1:14" ht="15" hidden="1">
      <c r="A27" s="305" t="s">
        <v>1280</v>
      </c>
      <c r="B27" s="3"/>
      <c r="C27" s="304"/>
      <c r="D27" s="304"/>
      <c r="E27" s="304"/>
      <c r="F27" s="304"/>
      <c r="G27" s="304"/>
      <c r="H27" s="304"/>
      <c r="I27" s="304"/>
      <c r="J27" s="304"/>
      <c r="K27" s="304"/>
      <c r="L27" s="304"/>
      <c r="M27" s="304"/>
      <c r="N27" s="143"/>
    </row>
    <row r="28" spans="1:14" ht="15" hidden="1">
      <c r="A28" s="145" t="s">
        <v>1281</v>
      </c>
      <c r="B28" s="3"/>
      <c r="C28" s="304"/>
      <c r="D28" s="304"/>
      <c r="E28" s="304"/>
      <c r="F28" s="304"/>
      <c r="G28" s="304"/>
      <c r="H28" s="304"/>
      <c r="I28" s="304"/>
      <c r="J28" s="304"/>
      <c r="K28" s="304"/>
      <c r="L28" s="304"/>
      <c r="M28" s="304"/>
      <c r="N28" s="143"/>
    </row>
    <row r="29" spans="1:14" ht="15" hidden="1">
      <c r="A29" s="145" t="s">
        <v>1282</v>
      </c>
      <c r="B29" s="3"/>
      <c r="C29" s="304"/>
      <c r="D29" s="304"/>
      <c r="E29" s="304"/>
      <c r="F29" s="304"/>
      <c r="G29" s="304"/>
      <c r="H29" s="304"/>
      <c r="I29" s="304"/>
      <c r="J29" s="304"/>
      <c r="K29" s="304"/>
      <c r="L29" s="304"/>
      <c r="M29" s="304"/>
      <c r="N29" s="143"/>
    </row>
    <row r="30" spans="1:14" ht="15" hidden="1">
      <c r="A30" s="145" t="s">
        <v>1283</v>
      </c>
      <c r="B30" s="3"/>
      <c r="C30" s="304"/>
      <c r="D30" s="304"/>
      <c r="E30" s="304"/>
      <c r="F30" s="304"/>
      <c r="G30" s="304"/>
      <c r="H30" s="304"/>
      <c r="I30" s="304"/>
      <c r="J30" s="304"/>
      <c r="K30" s="304"/>
      <c r="L30" s="304"/>
      <c r="M30" s="304"/>
      <c r="N30" s="143"/>
    </row>
    <row r="31" spans="1:14" ht="25.5" customHeight="1">
      <c r="A31" s="302" t="s">
        <v>1070</v>
      </c>
      <c r="B31" s="3">
        <f>SUM(C31:N31)</f>
        <v>6560</v>
      </c>
      <c r="C31" s="304">
        <v>547</v>
      </c>
      <c r="D31" s="304">
        <v>547</v>
      </c>
      <c r="E31" s="304">
        <v>547</v>
      </c>
      <c r="F31" s="304">
        <v>547</v>
      </c>
      <c r="G31" s="304">
        <v>547</v>
      </c>
      <c r="H31" s="304">
        <v>547</v>
      </c>
      <c r="I31" s="304">
        <v>547</v>
      </c>
      <c r="J31" s="304">
        <v>547</v>
      </c>
      <c r="K31" s="304">
        <v>547</v>
      </c>
      <c r="L31" s="304">
        <v>547</v>
      </c>
      <c r="M31" s="304">
        <v>547</v>
      </c>
      <c r="N31" s="143">
        <v>543</v>
      </c>
    </row>
    <row r="32" spans="1:14" ht="15" hidden="1">
      <c r="A32" s="145" t="s">
        <v>1286</v>
      </c>
      <c r="B32" s="3"/>
      <c r="C32" s="304"/>
      <c r="D32" s="304"/>
      <c r="E32" s="304"/>
      <c r="F32" s="304"/>
      <c r="G32" s="304"/>
      <c r="H32" s="304"/>
      <c r="I32" s="304"/>
      <c r="J32" s="304"/>
      <c r="K32" s="304"/>
      <c r="L32" s="304"/>
      <c r="M32" s="304"/>
      <c r="N32" s="143"/>
    </row>
    <row r="33" spans="1:14" ht="15" hidden="1">
      <c r="A33" s="145" t="s">
        <v>1287</v>
      </c>
      <c r="B33" s="3"/>
      <c r="C33" s="304"/>
      <c r="D33" s="304"/>
      <c r="E33" s="304"/>
      <c r="F33" s="304"/>
      <c r="G33" s="304"/>
      <c r="H33" s="304"/>
      <c r="I33" s="304"/>
      <c r="J33" s="304"/>
      <c r="K33" s="304"/>
      <c r="L33" s="304"/>
      <c r="M33" s="304"/>
      <c r="N33" s="143"/>
    </row>
    <row r="34" spans="1:14" ht="15" hidden="1">
      <c r="A34" s="145" t="s">
        <v>1289</v>
      </c>
      <c r="B34" s="3"/>
      <c r="C34" s="304"/>
      <c r="D34" s="304"/>
      <c r="E34" s="304"/>
      <c r="F34" s="304"/>
      <c r="G34" s="304"/>
      <c r="H34" s="304"/>
      <c r="I34" s="304"/>
      <c r="J34" s="304"/>
      <c r="K34" s="304"/>
      <c r="L34" s="304"/>
      <c r="M34" s="304"/>
      <c r="N34" s="143"/>
    </row>
    <row r="35" spans="1:14" ht="15" hidden="1">
      <c r="A35" s="145" t="s">
        <v>272</v>
      </c>
      <c r="B35" s="3"/>
      <c r="C35" s="304"/>
      <c r="D35" s="304"/>
      <c r="E35" s="304"/>
      <c r="F35" s="304"/>
      <c r="G35" s="304"/>
      <c r="H35" s="304"/>
      <c r="I35" s="304"/>
      <c r="J35" s="304"/>
      <c r="K35" s="304"/>
      <c r="L35" s="304"/>
      <c r="M35" s="304"/>
      <c r="N35" s="143"/>
    </row>
    <row r="36" spans="1:14" ht="15" hidden="1">
      <c r="A36" s="145" t="s">
        <v>1291</v>
      </c>
      <c r="B36" s="3"/>
      <c r="C36" s="304"/>
      <c r="D36" s="304"/>
      <c r="E36" s="304"/>
      <c r="F36" s="304"/>
      <c r="G36" s="304"/>
      <c r="H36" s="304"/>
      <c r="I36" s="304"/>
      <c r="J36" s="304"/>
      <c r="K36" s="304"/>
      <c r="L36" s="304"/>
      <c r="M36" s="304"/>
      <c r="N36" s="143"/>
    </row>
    <row r="37" spans="1:14" ht="15" hidden="1">
      <c r="A37" s="145" t="s">
        <v>1293</v>
      </c>
      <c r="B37" s="3"/>
      <c r="C37" s="304"/>
      <c r="D37" s="304"/>
      <c r="E37" s="304"/>
      <c r="F37" s="304"/>
      <c r="G37" s="304"/>
      <c r="H37" s="304"/>
      <c r="I37" s="304"/>
      <c r="J37" s="304"/>
      <c r="K37" s="304"/>
      <c r="L37" s="304"/>
      <c r="M37" s="304"/>
      <c r="N37" s="143"/>
    </row>
    <row r="38" spans="1:14" ht="15" hidden="1">
      <c r="A38" s="145" t="s">
        <v>1294</v>
      </c>
      <c r="B38" s="3"/>
      <c r="C38" s="304"/>
      <c r="D38" s="304"/>
      <c r="E38" s="304"/>
      <c r="F38" s="304"/>
      <c r="G38" s="304"/>
      <c r="H38" s="304"/>
      <c r="I38" s="304"/>
      <c r="J38" s="304"/>
      <c r="K38" s="304"/>
      <c r="L38" s="304"/>
      <c r="M38" s="304"/>
      <c r="N38" s="143"/>
    </row>
    <row r="39" spans="1:14" ht="15" hidden="1">
      <c r="A39" s="145" t="s">
        <v>1295</v>
      </c>
      <c r="B39" s="3"/>
      <c r="C39" s="304"/>
      <c r="D39" s="304"/>
      <c r="E39" s="304"/>
      <c r="F39" s="304"/>
      <c r="G39" s="304"/>
      <c r="H39" s="304"/>
      <c r="I39" s="304"/>
      <c r="J39" s="304"/>
      <c r="K39" s="304"/>
      <c r="L39" s="304"/>
      <c r="M39" s="304"/>
      <c r="N39" s="143"/>
    </row>
    <row r="40" spans="1:14" ht="25.5" customHeight="1">
      <c r="A40" s="302" t="s">
        <v>1071</v>
      </c>
      <c r="B40" s="3">
        <f aca="true" t="shared" si="0" ref="B40:B55">SUM(C40:N40)</f>
        <v>1164.6</v>
      </c>
      <c r="C40" s="304">
        <v>60</v>
      </c>
      <c r="D40" s="304">
        <v>60</v>
      </c>
      <c r="E40" s="304">
        <f>463*1.2</f>
        <v>555.6</v>
      </c>
      <c r="F40" s="304">
        <v>20</v>
      </c>
      <c r="G40" s="304">
        <f>60*1.2</f>
        <v>72</v>
      </c>
      <c r="H40" s="304">
        <f>40*1.2</f>
        <v>48</v>
      </c>
      <c r="I40" s="304">
        <v>12</v>
      </c>
      <c r="J40" s="304">
        <v>11</v>
      </c>
      <c r="K40" s="304">
        <v>18</v>
      </c>
      <c r="L40" s="304">
        <v>80</v>
      </c>
      <c r="M40" s="304">
        <v>122</v>
      </c>
      <c r="N40" s="143">
        <v>106</v>
      </c>
    </row>
    <row r="41" spans="1:14" ht="15" hidden="1">
      <c r="A41" s="145" t="s">
        <v>1298</v>
      </c>
      <c r="B41" s="3">
        <f t="shared" si="0"/>
        <v>0</v>
      </c>
      <c r="C41" s="304"/>
      <c r="D41" s="304"/>
      <c r="E41" s="304"/>
      <c r="F41" s="304"/>
      <c r="G41" s="304"/>
      <c r="H41" s="304"/>
      <c r="I41" s="304"/>
      <c r="J41" s="304"/>
      <c r="K41" s="304"/>
      <c r="L41" s="304"/>
      <c r="M41" s="304"/>
      <c r="N41" s="143"/>
    </row>
    <row r="42" spans="1:14" ht="15" hidden="1">
      <c r="A42" s="145" t="s">
        <v>1300</v>
      </c>
      <c r="B42" s="3">
        <f t="shared" si="0"/>
        <v>0</v>
      </c>
      <c r="C42" s="304"/>
      <c r="D42" s="304"/>
      <c r="E42" s="304"/>
      <c r="F42" s="304"/>
      <c r="G42" s="304"/>
      <c r="H42" s="304"/>
      <c r="I42" s="304"/>
      <c r="J42" s="304"/>
      <c r="K42" s="304"/>
      <c r="L42" s="304"/>
      <c r="M42" s="304"/>
      <c r="N42" s="143"/>
    </row>
    <row r="43" spans="1:14" ht="15" hidden="1">
      <c r="A43" s="145" t="s">
        <v>1302</v>
      </c>
      <c r="B43" s="3">
        <f t="shared" si="0"/>
        <v>0</v>
      </c>
      <c r="C43" s="304"/>
      <c r="D43" s="304"/>
      <c r="E43" s="304"/>
      <c r="F43" s="304"/>
      <c r="G43" s="304"/>
      <c r="H43" s="304"/>
      <c r="I43" s="304"/>
      <c r="J43" s="304"/>
      <c r="K43" s="304"/>
      <c r="L43" s="304"/>
      <c r="M43" s="304"/>
      <c r="N43" s="143"/>
    </row>
    <row r="44" spans="1:14" ht="15" hidden="1">
      <c r="A44" s="145" t="s">
        <v>153</v>
      </c>
      <c r="B44" s="3">
        <f t="shared" si="0"/>
        <v>0</v>
      </c>
      <c r="C44" s="304"/>
      <c r="D44" s="304"/>
      <c r="E44" s="304"/>
      <c r="F44" s="304"/>
      <c r="G44" s="304"/>
      <c r="H44" s="304"/>
      <c r="I44" s="304"/>
      <c r="J44" s="304"/>
      <c r="K44" s="304"/>
      <c r="L44" s="304"/>
      <c r="M44" s="304"/>
      <c r="N44" s="143"/>
    </row>
    <row r="45" spans="1:14" ht="25.5" customHeight="1">
      <c r="A45" s="302" t="s">
        <v>1072</v>
      </c>
      <c r="B45" s="3">
        <f t="shared" si="0"/>
        <v>1246</v>
      </c>
      <c r="C45" s="304">
        <v>18</v>
      </c>
      <c r="D45" s="304">
        <v>18</v>
      </c>
      <c r="E45" s="304">
        <v>18</v>
      </c>
      <c r="F45" s="304">
        <v>216</v>
      </c>
      <c r="G45" s="304">
        <v>80</v>
      </c>
      <c r="H45" s="304">
        <v>141</v>
      </c>
      <c r="I45" s="304">
        <v>81</v>
      </c>
      <c r="J45" s="304">
        <v>63</v>
      </c>
      <c r="K45" s="304">
        <v>175</v>
      </c>
      <c r="L45" s="304">
        <v>68</v>
      </c>
      <c r="M45" s="304">
        <v>230</v>
      </c>
      <c r="N45" s="143">
        <v>138</v>
      </c>
    </row>
    <row r="46" spans="1:14" ht="15" hidden="1">
      <c r="A46" s="145" t="s">
        <v>155</v>
      </c>
      <c r="B46" s="3">
        <f t="shared" si="0"/>
        <v>0</v>
      </c>
      <c r="C46" s="304"/>
      <c r="D46" s="304"/>
      <c r="E46" s="304"/>
      <c r="F46" s="304"/>
      <c r="G46" s="304"/>
      <c r="H46" s="304"/>
      <c r="I46" s="304"/>
      <c r="J46" s="304"/>
      <c r="K46" s="304"/>
      <c r="L46" s="304"/>
      <c r="M46" s="304"/>
      <c r="N46" s="143"/>
    </row>
    <row r="47" spans="1:14" ht="15" hidden="1">
      <c r="A47" s="145" t="s">
        <v>156</v>
      </c>
      <c r="B47" s="3">
        <f t="shared" si="0"/>
        <v>0</v>
      </c>
      <c r="C47" s="304"/>
      <c r="D47" s="304"/>
      <c r="E47" s="304"/>
      <c r="F47" s="304"/>
      <c r="G47" s="304"/>
      <c r="H47" s="304"/>
      <c r="I47" s="304"/>
      <c r="J47" s="304"/>
      <c r="K47" s="304"/>
      <c r="L47" s="304"/>
      <c r="M47" s="304"/>
      <c r="N47" s="143"/>
    </row>
    <row r="48" spans="1:14" ht="15" hidden="1">
      <c r="A48" s="145" t="s">
        <v>158</v>
      </c>
      <c r="B48" s="3">
        <f t="shared" si="0"/>
        <v>0</v>
      </c>
      <c r="C48" s="304"/>
      <c r="D48" s="304"/>
      <c r="E48" s="304"/>
      <c r="F48" s="304"/>
      <c r="G48" s="304"/>
      <c r="H48" s="304"/>
      <c r="I48" s="304"/>
      <c r="J48" s="304"/>
      <c r="K48" s="304"/>
      <c r="L48" s="304"/>
      <c r="M48" s="304"/>
      <c r="N48" s="143"/>
    </row>
    <row r="49" spans="1:14" ht="15" hidden="1">
      <c r="A49" s="145" t="s">
        <v>160</v>
      </c>
      <c r="B49" s="3">
        <f t="shared" si="0"/>
        <v>0</v>
      </c>
      <c r="C49" s="304"/>
      <c r="D49" s="304"/>
      <c r="E49" s="304"/>
      <c r="F49" s="304"/>
      <c r="G49" s="304"/>
      <c r="H49" s="304"/>
      <c r="I49" s="304"/>
      <c r="J49" s="304"/>
      <c r="K49" s="304"/>
      <c r="L49" s="304"/>
      <c r="M49" s="304"/>
      <c r="N49" s="143"/>
    </row>
    <row r="50" spans="1:14" ht="15" hidden="1">
      <c r="A50" s="145" t="s">
        <v>156</v>
      </c>
      <c r="B50" s="3">
        <f t="shared" si="0"/>
        <v>0</v>
      </c>
      <c r="C50" s="304"/>
      <c r="D50" s="304"/>
      <c r="E50" s="304"/>
      <c r="F50" s="304"/>
      <c r="G50" s="304"/>
      <c r="H50" s="304"/>
      <c r="I50" s="304"/>
      <c r="J50" s="304"/>
      <c r="K50" s="304"/>
      <c r="L50" s="304"/>
      <c r="M50" s="304"/>
      <c r="N50" s="143"/>
    </row>
    <row r="51" spans="1:14" ht="15" hidden="1">
      <c r="A51" s="145" t="s">
        <v>158</v>
      </c>
      <c r="B51" s="3">
        <f t="shared" si="0"/>
        <v>0</v>
      </c>
      <c r="C51" s="304"/>
      <c r="D51" s="304"/>
      <c r="E51" s="304"/>
      <c r="F51" s="304"/>
      <c r="G51" s="304"/>
      <c r="H51" s="304"/>
      <c r="I51" s="304"/>
      <c r="J51" s="304"/>
      <c r="K51" s="304"/>
      <c r="L51" s="304"/>
      <c r="M51" s="304"/>
      <c r="N51" s="143"/>
    </row>
    <row r="52" spans="1:14" ht="12.75" customHeight="1" hidden="1">
      <c r="A52" s="145" t="s">
        <v>479</v>
      </c>
      <c r="B52" s="3">
        <f t="shared" si="0"/>
        <v>0</v>
      </c>
      <c r="C52" s="304"/>
      <c r="D52" s="304"/>
      <c r="E52" s="304"/>
      <c r="F52" s="304"/>
      <c r="G52" s="304"/>
      <c r="H52" s="304"/>
      <c r="I52" s="304"/>
      <c r="J52" s="304"/>
      <c r="K52" s="304"/>
      <c r="L52" s="304"/>
      <c r="M52" s="304"/>
      <c r="N52" s="143"/>
    </row>
    <row r="53" spans="1:14" ht="12.75" customHeight="1" hidden="1">
      <c r="A53" s="145" t="s">
        <v>520</v>
      </c>
      <c r="B53" s="3">
        <f t="shared" si="0"/>
        <v>0</v>
      </c>
      <c r="C53" s="304"/>
      <c r="D53" s="304"/>
      <c r="E53" s="304"/>
      <c r="F53" s="304"/>
      <c r="G53" s="304"/>
      <c r="H53" s="304"/>
      <c r="I53" s="304"/>
      <c r="J53" s="304"/>
      <c r="K53" s="304"/>
      <c r="L53" s="304"/>
      <c r="M53" s="304"/>
      <c r="N53" s="143"/>
    </row>
    <row r="54" spans="1:14" ht="28.5" customHeight="1">
      <c r="A54" s="357" t="s">
        <v>1073</v>
      </c>
      <c r="B54" s="3">
        <f t="shared" si="0"/>
        <v>12</v>
      </c>
      <c r="C54" s="304">
        <v>1</v>
      </c>
      <c r="D54" s="304">
        <v>1</v>
      </c>
      <c r="E54" s="304">
        <v>1</v>
      </c>
      <c r="F54" s="304">
        <v>1</v>
      </c>
      <c r="G54" s="304">
        <v>1</v>
      </c>
      <c r="H54" s="304">
        <v>1</v>
      </c>
      <c r="I54" s="304">
        <v>1</v>
      </c>
      <c r="J54" s="304">
        <v>1</v>
      </c>
      <c r="K54" s="304">
        <v>1</v>
      </c>
      <c r="L54" s="304">
        <v>1</v>
      </c>
      <c r="M54" s="304">
        <v>1</v>
      </c>
      <c r="N54" s="143">
        <v>1</v>
      </c>
    </row>
    <row r="55" spans="1:14" ht="25.5" customHeight="1">
      <c r="A55" s="302" t="s">
        <v>1074</v>
      </c>
      <c r="B55" s="3">
        <f t="shared" si="0"/>
        <v>2434</v>
      </c>
      <c r="C55" s="304"/>
      <c r="D55" s="304"/>
      <c r="E55" s="304"/>
      <c r="F55" s="304"/>
      <c r="G55" s="304"/>
      <c r="H55" s="304">
        <f>1000-157</f>
        <v>843</v>
      </c>
      <c r="I55" s="304"/>
      <c r="J55" s="304"/>
      <c r="K55" s="304">
        <v>850</v>
      </c>
      <c r="L55" s="304"/>
      <c r="M55" s="304"/>
      <c r="N55" s="143">
        <v>741</v>
      </c>
    </row>
    <row r="56" spans="1:14" ht="25.5" customHeight="1">
      <c r="A56" s="302" t="s">
        <v>1075</v>
      </c>
      <c r="B56" s="3"/>
      <c r="C56" s="304"/>
      <c r="D56" s="304"/>
      <c r="E56" s="304"/>
      <c r="F56" s="304"/>
      <c r="G56" s="304"/>
      <c r="H56" s="304"/>
      <c r="I56" s="304"/>
      <c r="J56" s="304"/>
      <c r="K56" s="304"/>
      <c r="L56" s="304"/>
      <c r="M56" s="304"/>
      <c r="N56" s="143"/>
    </row>
    <row r="57" spans="1:14" ht="25.5" customHeight="1">
      <c r="A57" s="302" t="s">
        <v>1076</v>
      </c>
      <c r="B57" s="3">
        <v>0</v>
      </c>
      <c r="C57" s="304"/>
      <c r="D57" s="304"/>
      <c r="E57" s="304"/>
      <c r="F57" s="304"/>
      <c r="G57" s="304"/>
      <c r="H57" s="304"/>
      <c r="I57" s="304"/>
      <c r="J57" s="304"/>
      <c r="K57" s="304"/>
      <c r="L57" s="304"/>
      <c r="M57" s="304"/>
      <c r="N57" s="143"/>
    </row>
    <row r="58" spans="1:14" ht="15" hidden="1">
      <c r="A58" s="145" t="s">
        <v>163</v>
      </c>
      <c r="B58" s="3">
        <v>0</v>
      </c>
      <c r="C58" s="304"/>
      <c r="D58" s="304"/>
      <c r="E58" s="304"/>
      <c r="F58" s="304"/>
      <c r="G58" s="304"/>
      <c r="H58" s="304"/>
      <c r="I58" s="304"/>
      <c r="J58" s="304"/>
      <c r="K58" s="304"/>
      <c r="L58" s="304"/>
      <c r="M58" s="304"/>
      <c r="N58" s="143"/>
    </row>
    <row r="59" spans="1:14" ht="15" hidden="1">
      <c r="A59" s="145" t="s">
        <v>164</v>
      </c>
      <c r="B59" s="3">
        <v>0</v>
      </c>
      <c r="C59" s="304"/>
      <c r="D59" s="306"/>
      <c r="E59" s="304"/>
      <c r="F59" s="304"/>
      <c r="G59" s="304"/>
      <c r="H59" s="304"/>
      <c r="I59" s="304"/>
      <c r="J59" s="304"/>
      <c r="K59" s="304"/>
      <c r="L59" s="304"/>
      <c r="M59" s="304"/>
      <c r="N59" s="143"/>
    </row>
    <row r="60" spans="1:14" ht="12.75" customHeight="1" hidden="1">
      <c r="A60" s="145" t="s">
        <v>165</v>
      </c>
      <c r="B60" s="3">
        <v>0</v>
      </c>
      <c r="C60" s="304"/>
      <c r="D60" s="304"/>
      <c r="E60" s="304"/>
      <c r="F60" s="304"/>
      <c r="G60" s="304"/>
      <c r="H60" s="304"/>
      <c r="I60" s="304"/>
      <c r="J60" s="304"/>
      <c r="K60" s="304"/>
      <c r="L60" s="304"/>
      <c r="M60" s="304"/>
      <c r="N60" s="143"/>
    </row>
    <row r="61" spans="1:14" ht="12.75" customHeight="1" hidden="1">
      <c r="A61" s="145"/>
      <c r="B61" s="303">
        <v>0</v>
      </c>
      <c r="C61" s="304"/>
      <c r="D61" s="304"/>
      <c r="E61" s="304"/>
      <c r="F61" s="304"/>
      <c r="G61" s="304"/>
      <c r="H61" s="304"/>
      <c r="I61" s="304"/>
      <c r="J61" s="304"/>
      <c r="K61" s="304"/>
      <c r="L61" s="304"/>
      <c r="M61" s="304"/>
      <c r="N61" s="143"/>
    </row>
    <row r="62" spans="1:14" ht="12.75" customHeight="1" hidden="1">
      <c r="A62" s="302"/>
      <c r="B62" s="3">
        <v>0</v>
      </c>
      <c r="C62" s="304"/>
      <c r="D62" s="304"/>
      <c r="E62" s="304"/>
      <c r="F62" s="304"/>
      <c r="G62" s="304"/>
      <c r="H62" s="304"/>
      <c r="I62" s="304"/>
      <c r="J62" s="304"/>
      <c r="K62" s="304"/>
      <c r="L62" s="304"/>
      <c r="M62" s="304"/>
      <c r="N62" s="143"/>
    </row>
    <row r="63" spans="1:14" ht="12.75" customHeight="1" hidden="1">
      <c r="A63" s="149"/>
      <c r="B63" s="317">
        <v>0</v>
      </c>
      <c r="C63" s="310"/>
      <c r="D63" s="310"/>
      <c r="E63" s="310"/>
      <c r="F63" s="310"/>
      <c r="G63" s="310"/>
      <c r="H63" s="310"/>
      <c r="I63" s="310"/>
      <c r="J63" s="310"/>
      <c r="K63" s="310"/>
      <c r="L63" s="310"/>
      <c r="M63" s="310"/>
      <c r="N63" s="144"/>
    </row>
    <row r="64" spans="1:14" ht="24.75" customHeight="1">
      <c r="A64" s="313" t="s">
        <v>1065</v>
      </c>
      <c r="B64" s="258">
        <f aca="true" t="shared" si="1" ref="B64:N64">SUM(B55,B54,B45,B40,B31,B10)</f>
        <v>19604.6</v>
      </c>
      <c r="C64" s="258">
        <f t="shared" si="1"/>
        <v>1026</v>
      </c>
      <c r="D64" s="258">
        <f t="shared" si="1"/>
        <v>1026</v>
      </c>
      <c r="E64" s="258">
        <f t="shared" si="1"/>
        <v>3171.6</v>
      </c>
      <c r="F64" s="258">
        <f t="shared" si="1"/>
        <v>1184</v>
      </c>
      <c r="G64" s="258">
        <f t="shared" si="1"/>
        <v>1100</v>
      </c>
      <c r="H64" s="258">
        <f t="shared" si="1"/>
        <v>2015</v>
      </c>
      <c r="I64" s="258">
        <f t="shared" si="1"/>
        <v>950</v>
      </c>
      <c r="J64" s="258">
        <f t="shared" si="1"/>
        <v>1769</v>
      </c>
      <c r="K64" s="258">
        <f t="shared" si="1"/>
        <v>2791</v>
      </c>
      <c r="L64" s="258">
        <f t="shared" si="1"/>
        <v>1096</v>
      </c>
      <c r="M64" s="258">
        <f t="shared" si="1"/>
        <v>1400</v>
      </c>
      <c r="N64" s="321">
        <f t="shared" si="1"/>
        <v>2076</v>
      </c>
    </row>
    <row r="65" spans="1:14" ht="24" customHeight="1">
      <c r="A65" s="358" t="s">
        <v>1077</v>
      </c>
      <c r="B65" s="318">
        <f>SUM(C65:N65)</f>
        <v>11059</v>
      </c>
      <c r="C65" s="319">
        <v>921</v>
      </c>
      <c r="D65" s="319">
        <v>921</v>
      </c>
      <c r="E65" s="319">
        <v>921</v>
      </c>
      <c r="F65" s="319">
        <v>921</v>
      </c>
      <c r="G65" s="319">
        <v>921</v>
      </c>
      <c r="H65" s="319">
        <v>921</v>
      </c>
      <c r="I65" s="319">
        <v>921</v>
      </c>
      <c r="J65" s="319">
        <v>921</v>
      </c>
      <c r="K65" s="319">
        <v>921</v>
      </c>
      <c r="L65" s="319">
        <v>921</v>
      </c>
      <c r="M65" s="319">
        <v>921</v>
      </c>
      <c r="N65" s="320">
        <v>928</v>
      </c>
    </row>
    <row r="66" spans="1:14" ht="24" customHeight="1">
      <c r="A66" s="302" t="s">
        <v>1078</v>
      </c>
      <c r="B66" s="304">
        <f>SUM(C66:N66)</f>
        <v>9795</v>
      </c>
      <c r="C66" s="304">
        <v>610</v>
      </c>
      <c r="D66" s="304">
        <v>490</v>
      </c>
      <c r="E66" s="304">
        <v>778</v>
      </c>
      <c r="F66" s="304">
        <v>580</v>
      </c>
      <c r="G66" s="304">
        <v>1047</v>
      </c>
      <c r="H66" s="304">
        <v>1000</v>
      </c>
      <c r="I66" s="304">
        <v>610</v>
      </c>
      <c r="J66" s="304">
        <v>658</v>
      </c>
      <c r="K66" s="304">
        <f>600+50</f>
        <v>650</v>
      </c>
      <c r="L66" s="304">
        <f>1022+50</f>
        <v>1072</v>
      </c>
      <c r="M66" s="304">
        <v>1150</v>
      </c>
      <c r="N66" s="143">
        <v>1150</v>
      </c>
    </row>
    <row r="67" spans="1:14" ht="24" customHeight="1" hidden="1">
      <c r="A67" s="307" t="s">
        <v>521</v>
      </c>
      <c r="B67" s="304"/>
      <c r="C67" s="304"/>
      <c r="D67" s="304"/>
      <c r="E67" s="304"/>
      <c r="F67" s="304"/>
      <c r="G67" s="304"/>
      <c r="H67" s="304"/>
      <c r="I67" s="304"/>
      <c r="J67" s="304"/>
      <c r="K67" s="304"/>
      <c r="L67" s="304"/>
      <c r="M67" s="304"/>
      <c r="N67" s="143"/>
    </row>
    <row r="68" spans="1:14" ht="24" customHeight="1" hidden="1">
      <c r="A68" s="307" t="s">
        <v>523</v>
      </c>
      <c r="B68" s="304"/>
      <c r="C68" s="304"/>
      <c r="D68" s="304"/>
      <c r="E68" s="304"/>
      <c r="F68" s="304"/>
      <c r="G68" s="304"/>
      <c r="H68" s="304"/>
      <c r="I68" s="304"/>
      <c r="J68" s="304"/>
      <c r="K68" s="304"/>
      <c r="L68" s="304"/>
      <c r="M68" s="304"/>
      <c r="N68" s="143"/>
    </row>
    <row r="69" spans="1:14" ht="24" customHeight="1">
      <c r="A69" s="302" t="s">
        <v>1079</v>
      </c>
      <c r="B69" s="1339">
        <f>SUM(C69:N69)</f>
        <v>7.5</v>
      </c>
      <c r="C69" s="308">
        <v>0.5</v>
      </c>
      <c r="D69" s="308">
        <v>0.5</v>
      </c>
      <c r="E69" s="308">
        <v>0.5</v>
      </c>
      <c r="F69" s="308">
        <v>0.5</v>
      </c>
      <c r="G69" s="308">
        <v>0.5</v>
      </c>
      <c r="H69" s="308">
        <v>0.75</v>
      </c>
      <c r="I69" s="308">
        <v>0.75</v>
      </c>
      <c r="J69" s="308">
        <v>0.5</v>
      </c>
      <c r="K69" s="308">
        <v>0.5</v>
      </c>
      <c r="L69" s="308">
        <v>0.75</v>
      </c>
      <c r="M69" s="308">
        <v>0.75</v>
      </c>
      <c r="N69" s="309">
        <v>1</v>
      </c>
    </row>
    <row r="70" spans="1:14" ht="24" customHeight="1">
      <c r="A70" s="359" t="s">
        <v>1080</v>
      </c>
      <c r="B70" s="310"/>
      <c r="C70" s="311"/>
      <c r="D70" s="311"/>
      <c r="E70" s="311"/>
      <c r="F70" s="311"/>
      <c r="G70" s="311"/>
      <c r="H70" s="311"/>
      <c r="I70" s="311"/>
      <c r="J70" s="311"/>
      <c r="K70" s="311"/>
      <c r="L70" s="311"/>
      <c r="M70" s="311"/>
      <c r="N70" s="312"/>
    </row>
    <row r="71" spans="1:14" ht="30" customHeight="1">
      <c r="A71" s="313" t="s">
        <v>1066</v>
      </c>
      <c r="B71" s="400">
        <f>SUM(B65,B66,B69)</f>
        <v>20861.5</v>
      </c>
      <c r="C71" s="1337">
        <f>SUM(C65:C70)</f>
        <v>1531.5</v>
      </c>
      <c r="D71" s="1337">
        <f aca="true" t="shared" si="2" ref="D71:N71">SUM(D65:D70)</f>
        <v>1411.5</v>
      </c>
      <c r="E71" s="1337">
        <f t="shared" si="2"/>
        <v>1699.5</v>
      </c>
      <c r="F71" s="1337">
        <f t="shared" si="2"/>
        <v>1501.5</v>
      </c>
      <c r="G71" s="1337">
        <f t="shared" si="2"/>
        <v>1968.5</v>
      </c>
      <c r="H71" s="1337">
        <f t="shared" si="2"/>
        <v>1921.75</v>
      </c>
      <c r="I71" s="1337">
        <f t="shared" si="2"/>
        <v>1531.75</v>
      </c>
      <c r="J71" s="1337">
        <f t="shared" si="2"/>
        <v>1579.5</v>
      </c>
      <c r="K71" s="1337">
        <f t="shared" si="2"/>
        <v>1571.5</v>
      </c>
      <c r="L71" s="1337">
        <f t="shared" si="2"/>
        <v>1993.75</v>
      </c>
      <c r="M71" s="1337">
        <f t="shared" si="2"/>
        <v>2071.75</v>
      </c>
      <c r="N71" s="1338">
        <f t="shared" si="2"/>
        <v>2079</v>
      </c>
    </row>
    <row r="72" spans="1:14" ht="31.5" customHeight="1">
      <c r="A72" s="314" t="s">
        <v>522</v>
      </c>
      <c r="B72" s="315">
        <f aca="true" t="shared" si="3" ref="B72:N72">B64-B71</f>
        <v>-1256.9000000000015</v>
      </c>
      <c r="C72" s="315">
        <f t="shared" si="3"/>
        <v>-505.5</v>
      </c>
      <c r="D72" s="315">
        <f t="shared" si="3"/>
        <v>-385.5</v>
      </c>
      <c r="E72" s="315">
        <f t="shared" si="3"/>
        <v>1472.1</v>
      </c>
      <c r="F72" s="315">
        <f t="shared" si="3"/>
        <v>-317.5</v>
      </c>
      <c r="G72" s="315">
        <f t="shared" si="3"/>
        <v>-868.5</v>
      </c>
      <c r="H72" s="315">
        <f t="shared" si="3"/>
        <v>93.25</v>
      </c>
      <c r="I72" s="315">
        <f t="shared" si="3"/>
        <v>-581.75</v>
      </c>
      <c r="J72" s="315">
        <f t="shared" si="3"/>
        <v>189.5</v>
      </c>
      <c r="K72" s="315">
        <f t="shared" si="3"/>
        <v>1219.5</v>
      </c>
      <c r="L72" s="315">
        <f t="shared" si="3"/>
        <v>-897.75</v>
      </c>
      <c r="M72" s="315">
        <f t="shared" si="3"/>
        <v>-671.75</v>
      </c>
      <c r="N72" s="316">
        <f t="shared" si="3"/>
        <v>-3</v>
      </c>
    </row>
    <row r="73" spans="1:14" ht="15">
      <c r="A73" s="275"/>
      <c r="B73" s="275"/>
      <c r="C73" s="276"/>
      <c r="D73" s="276"/>
      <c r="E73" s="276"/>
      <c r="F73" s="276"/>
      <c r="G73" s="276"/>
      <c r="H73" s="276"/>
      <c r="I73" s="276"/>
      <c r="J73" s="275"/>
      <c r="K73" s="275"/>
      <c r="L73" s="275"/>
      <c r="M73" s="275"/>
      <c r="N73" s="275"/>
    </row>
    <row r="74" spans="1:14" ht="15">
      <c r="A74" s="275"/>
      <c r="B74" s="275"/>
      <c r="C74" s="276"/>
      <c r="D74" s="276"/>
      <c r="E74" s="276"/>
      <c r="F74" s="276"/>
      <c r="G74" s="276"/>
      <c r="H74" s="276"/>
      <c r="I74" s="276"/>
      <c r="J74" s="275"/>
      <c r="K74" s="275"/>
      <c r="L74" s="275"/>
      <c r="M74" s="275"/>
      <c r="N74" s="275"/>
    </row>
    <row r="75" spans="1:14" ht="15">
      <c r="A75" s="275"/>
      <c r="B75" s="285"/>
      <c r="C75" s="276"/>
      <c r="D75" s="276"/>
      <c r="E75" s="276"/>
      <c r="F75" s="276"/>
      <c r="G75" s="276"/>
      <c r="H75" s="276"/>
      <c r="I75" s="276"/>
      <c r="J75" s="275"/>
      <c r="K75" s="275"/>
      <c r="L75" s="275"/>
      <c r="M75" s="275"/>
      <c r="N75" s="275"/>
    </row>
    <row r="76" spans="1:14" ht="15">
      <c r="A76" s="275"/>
      <c r="B76" s="275"/>
      <c r="C76" s="276"/>
      <c r="D76" s="276"/>
      <c r="E76" s="276"/>
      <c r="F76" s="276"/>
      <c r="G76" s="276"/>
      <c r="H76" s="276"/>
      <c r="I76" s="276"/>
      <c r="J76" s="275"/>
      <c r="K76" s="275"/>
      <c r="L76" s="275"/>
      <c r="M76" s="275"/>
      <c r="N76" s="275"/>
    </row>
    <row r="77" spans="1:14" ht="15">
      <c r="A77" s="275"/>
      <c r="B77" s="275"/>
      <c r="C77" s="276"/>
      <c r="D77" s="276"/>
      <c r="E77" s="276"/>
      <c r="F77" s="276"/>
      <c r="G77" s="276"/>
      <c r="H77" s="276"/>
      <c r="I77" s="276"/>
      <c r="J77" s="275"/>
      <c r="K77" s="275"/>
      <c r="L77" s="275"/>
      <c r="M77" s="275"/>
      <c r="N77" s="275"/>
    </row>
  </sheetData>
  <mergeCells count="17">
    <mergeCell ref="L6:N6"/>
    <mergeCell ref="A7:A9"/>
    <mergeCell ref="B7:B9"/>
    <mergeCell ref="A3:N3"/>
    <mergeCell ref="A4:N4"/>
    <mergeCell ref="C7:C9"/>
    <mergeCell ref="D7:D9"/>
    <mergeCell ref="E7:E9"/>
    <mergeCell ref="J7:J9"/>
    <mergeCell ref="N7:N9"/>
    <mergeCell ref="F7:F9"/>
    <mergeCell ref="L7:L9"/>
    <mergeCell ref="M7:M9"/>
    <mergeCell ref="G7:G9"/>
    <mergeCell ref="H7:H9"/>
    <mergeCell ref="I7:I9"/>
    <mergeCell ref="K7:K9"/>
  </mergeCells>
  <printOptions/>
  <pageMargins left="0.34" right="0.28" top="0.71" bottom="0.63" header="0.29" footer="0.5"/>
  <pageSetup horizontalDpi="600" verticalDpi="600" orientation="landscape" paperSize="9" scale="72" r:id="rId1"/>
</worksheet>
</file>

<file path=xl/worksheets/sheet26.xml><?xml version="1.0" encoding="utf-8"?>
<worksheet xmlns="http://schemas.openxmlformats.org/spreadsheetml/2006/main" xmlns:r="http://schemas.openxmlformats.org/officeDocument/2006/relationships">
  <sheetPr codeName="Munka27">
    <tabColor indexed="43"/>
  </sheetPr>
  <dimension ref="A1:J43"/>
  <sheetViews>
    <sheetView tabSelected="1" workbookViewId="0" topLeftCell="A1">
      <selection activeCell="F58" sqref="F58"/>
    </sheetView>
  </sheetViews>
  <sheetFormatPr defaultColWidth="9.140625" defaultRowHeight="12.75"/>
  <cols>
    <col min="1" max="1" width="6.00390625" style="1247" customWidth="1"/>
    <col min="2" max="2" width="48.28125" style="1247" customWidth="1"/>
    <col min="3" max="3" width="11.00390625" style="1247" customWidth="1"/>
    <col min="4" max="5" width="10.140625" style="1247" customWidth="1"/>
    <col min="6" max="16384" width="9.140625" style="1247" customWidth="1"/>
  </cols>
  <sheetData>
    <row r="1" spans="1:5" ht="15">
      <c r="A1" s="257"/>
      <c r="B1" s="1377"/>
      <c r="C1" s="1377"/>
      <c r="D1" s="1377"/>
      <c r="E1" s="1378" t="s">
        <v>462</v>
      </c>
    </row>
    <row r="2" spans="1:5" ht="15">
      <c r="A2" s="257"/>
      <c r="B2" s="1377"/>
      <c r="C2" s="1377"/>
      <c r="D2" s="1377"/>
      <c r="E2" s="1378"/>
    </row>
    <row r="3" spans="1:5" ht="15">
      <c r="A3" s="1930" t="s">
        <v>1061</v>
      </c>
      <c r="B3" s="1930"/>
      <c r="C3" s="1930"/>
      <c r="D3" s="1930"/>
      <c r="E3" s="1930"/>
    </row>
    <row r="4" spans="1:5" ht="15">
      <c r="A4" s="1930" t="s">
        <v>640</v>
      </c>
      <c r="B4" s="1930"/>
      <c r="C4" s="1930"/>
      <c r="D4" s="1930"/>
      <c r="E4" s="1930"/>
    </row>
    <row r="5" spans="1:5" ht="15">
      <c r="A5" s="1379"/>
      <c r="B5" s="1379"/>
      <c r="C5" s="1379"/>
      <c r="D5" s="1379"/>
      <c r="E5" s="1379"/>
    </row>
    <row r="6" spans="1:5" ht="15">
      <c r="A6" s="1379"/>
      <c r="B6" s="1379"/>
      <c r="C6" s="1379"/>
      <c r="D6" s="1379"/>
      <c r="E6" s="1379"/>
    </row>
    <row r="7" spans="1:5" ht="15">
      <c r="A7" s="1380"/>
      <c r="B7" s="1381"/>
      <c r="C7" s="1358"/>
      <c r="D7" s="1358"/>
      <c r="E7" s="1366" t="s">
        <v>384</v>
      </c>
    </row>
    <row r="8" spans="1:5" ht="18" customHeight="1">
      <c r="A8" s="1936" t="s">
        <v>172</v>
      </c>
      <c r="B8" s="1937"/>
      <c r="C8" s="1382" t="s">
        <v>672</v>
      </c>
      <c r="D8" s="1383" t="s">
        <v>673</v>
      </c>
      <c r="E8" s="1940" t="s">
        <v>166</v>
      </c>
    </row>
    <row r="9" spans="1:5" ht="18" customHeight="1">
      <c r="A9" s="1938"/>
      <c r="B9" s="1939"/>
      <c r="C9" s="1384" t="s">
        <v>674</v>
      </c>
      <c r="D9" s="1385" t="s">
        <v>674</v>
      </c>
      <c r="E9" s="1941"/>
    </row>
    <row r="10" spans="1:5" ht="14.25" customHeight="1">
      <c r="A10" s="1933" t="s">
        <v>66</v>
      </c>
      <c r="B10" s="1934"/>
      <c r="C10" s="1934"/>
      <c r="D10" s="1934"/>
      <c r="E10" s="1935"/>
    </row>
    <row r="11" spans="1:5" ht="14.25" customHeight="1">
      <c r="A11" s="1367"/>
      <c r="B11" s="1368" t="s">
        <v>67</v>
      </c>
      <c r="C11" s="1369"/>
      <c r="D11" s="1369"/>
      <c r="E11" s="1370">
        <f aca="true" t="shared" si="0" ref="E11:E22">SUM(C11:D11)</f>
        <v>0</v>
      </c>
    </row>
    <row r="12" spans="1:5" ht="14.25" customHeight="1">
      <c r="A12" s="1367"/>
      <c r="B12" s="1368" t="s">
        <v>68</v>
      </c>
      <c r="C12" s="1368"/>
      <c r="D12" s="1368"/>
      <c r="E12" s="1370">
        <f t="shared" si="0"/>
        <v>0</v>
      </c>
    </row>
    <row r="13" spans="1:5" ht="14.25" customHeight="1">
      <c r="A13" s="1367"/>
      <c r="B13" s="1368" t="s">
        <v>69</v>
      </c>
      <c r="C13" s="1368"/>
      <c r="D13" s="1368"/>
      <c r="E13" s="1370">
        <f t="shared" si="0"/>
        <v>0</v>
      </c>
    </row>
    <row r="14" spans="1:5" ht="14.25" customHeight="1">
      <c r="A14" s="1367"/>
      <c r="B14" s="1368" t="s">
        <v>1250</v>
      </c>
      <c r="C14" s="1371">
        <f>SUM(C10:C13)</f>
        <v>0</v>
      </c>
      <c r="D14" s="1371"/>
      <c r="E14" s="1370">
        <f t="shared" si="0"/>
        <v>0</v>
      </c>
    </row>
    <row r="15" spans="1:5" ht="14.25" customHeight="1">
      <c r="A15" s="1367" t="s">
        <v>950</v>
      </c>
      <c r="B15" s="1371" t="s">
        <v>1081</v>
      </c>
      <c r="C15" s="1371">
        <f>SUM(C11:C14)</f>
        <v>0</v>
      </c>
      <c r="D15" s="1371">
        <f>SUM(D11:D14)</f>
        <v>0</v>
      </c>
      <c r="E15" s="1372">
        <f t="shared" si="0"/>
        <v>0</v>
      </c>
    </row>
    <row r="16" spans="1:5" ht="14.25" customHeight="1">
      <c r="A16" s="1367" t="s">
        <v>951</v>
      </c>
      <c r="B16" s="1371" t="s">
        <v>134</v>
      </c>
      <c r="C16" s="1371"/>
      <c r="D16" s="1371"/>
      <c r="E16" s="1372">
        <f t="shared" si="0"/>
        <v>0</v>
      </c>
    </row>
    <row r="17" spans="1:5" ht="14.25" customHeight="1">
      <c r="A17" s="1367" t="s">
        <v>198</v>
      </c>
      <c r="B17" s="1371" t="s">
        <v>1253</v>
      </c>
      <c r="C17" s="1371">
        <f>SUM(C18:C21)</f>
        <v>640</v>
      </c>
      <c r="D17" s="1371">
        <f>SUM(D18:D21)</f>
        <v>740</v>
      </c>
      <c r="E17" s="1372">
        <f t="shared" si="0"/>
        <v>1380</v>
      </c>
    </row>
    <row r="18" spans="1:5" ht="14.25" customHeight="1">
      <c r="A18" s="1367"/>
      <c r="B18" s="1368" t="s">
        <v>1254</v>
      </c>
      <c r="C18" s="1368">
        <v>640</v>
      </c>
      <c r="D18" s="1368">
        <v>740</v>
      </c>
      <c r="E18" s="1370">
        <f t="shared" si="0"/>
        <v>1380</v>
      </c>
    </row>
    <row r="19" spans="1:5" ht="14.25" customHeight="1">
      <c r="A19" s="1367"/>
      <c r="B19" s="1368" t="s">
        <v>1084</v>
      </c>
      <c r="C19" s="1368">
        <v>0</v>
      </c>
      <c r="D19" s="1368">
        <v>0</v>
      </c>
      <c r="E19" s="1372">
        <f t="shared" si="0"/>
        <v>0</v>
      </c>
    </row>
    <row r="20" spans="1:5" ht="14.25" customHeight="1">
      <c r="A20" s="1367"/>
      <c r="B20" s="1368" t="s">
        <v>1256</v>
      </c>
      <c r="C20" s="1368">
        <v>0</v>
      </c>
      <c r="D20" s="1368">
        <v>0</v>
      </c>
      <c r="E20" s="1372">
        <f t="shared" si="0"/>
        <v>0</v>
      </c>
    </row>
    <row r="21" spans="1:5" ht="14.25" customHeight="1">
      <c r="A21" s="1367"/>
      <c r="B21" s="1368" t="s">
        <v>1084</v>
      </c>
      <c r="C21" s="1371">
        <f>SUM(C22)</f>
        <v>0</v>
      </c>
      <c r="D21" s="1371">
        <f>SUM(D22)</f>
        <v>0</v>
      </c>
      <c r="E21" s="1372">
        <f t="shared" si="0"/>
        <v>0</v>
      </c>
    </row>
    <row r="22" spans="1:5" ht="14.25" customHeight="1">
      <c r="A22" s="1367" t="s">
        <v>259</v>
      </c>
      <c r="B22" s="1371" t="s">
        <v>260</v>
      </c>
      <c r="C22" s="1368">
        <v>0</v>
      </c>
      <c r="D22" s="1368">
        <v>0</v>
      </c>
      <c r="E22" s="1372">
        <f t="shared" si="0"/>
        <v>0</v>
      </c>
    </row>
    <row r="23" spans="1:5" ht="14.25" customHeight="1">
      <c r="A23" s="1367"/>
      <c r="B23" s="1368" t="s">
        <v>1085</v>
      </c>
      <c r="C23" s="1371"/>
      <c r="D23" s="1371"/>
      <c r="E23" s="1372"/>
    </row>
    <row r="24" spans="1:5" ht="14.25" customHeight="1">
      <c r="A24" s="1367" t="s">
        <v>262</v>
      </c>
      <c r="B24" s="1371" t="s">
        <v>1259</v>
      </c>
      <c r="C24" s="1373">
        <v>5000</v>
      </c>
      <c r="D24" s="1373">
        <v>2500</v>
      </c>
      <c r="E24" s="1372">
        <f>SUM(C24:D24)</f>
        <v>7500</v>
      </c>
    </row>
    <row r="25" spans="1:5" ht="18" customHeight="1">
      <c r="A25" s="1931" t="s">
        <v>1260</v>
      </c>
      <c r="B25" s="1932"/>
      <c r="C25" s="1374">
        <f>SUM(C24,C22,C17,C16,C15)</f>
        <v>5640</v>
      </c>
      <c r="D25" s="1374">
        <f>SUM(D24,D22,D17,D16,D15)</f>
        <v>3240</v>
      </c>
      <c r="E25" s="1375">
        <f>SUM(E24,E22,E17,E16,E15)</f>
        <v>8880</v>
      </c>
    </row>
    <row r="26" spans="1:5" ht="14.25" customHeight="1">
      <c r="A26" s="1933" t="s">
        <v>1082</v>
      </c>
      <c r="B26" s="1934"/>
      <c r="C26" s="1934"/>
      <c r="D26" s="1934"/>
      <c r="E26" s="1935"/>
    </row>
    <row r="27" spans="1:5" ht="14.25" customHeight="1">
      <c r="A27" s="1367" t="s">
        <v>950</v>
      </c>
      <c r="B27" s="1371" t="s">
        <v>89</v>
      </c>
      <c r="C27" s="1371">
        <v>1260</v>
      </c>
      <c r="D27" s="1371">
        <v>780</v>
      </c>
      <c r="E27" s="1372">
        <f aca="true" t="shared" si="1" ref="E27:E40">C27+D27</f>
        <v>2040</v>
      </c>
    </row>
    <row r="28" spans="1:5" ht="14.25" customHeight="1">
      <c r="A28" s="1367" t="s">
        <v>951</v>
      </c>
      <c r="B28" s="1371" t="s">
        <v>974</v>
      </c>
      <c r="C28" s="1371">
        <v>365</v>
      </c>
      <c r="D28" s="1371">
        <v>209</v>
      </c>
      <c r="E28" s="1372">
        <f t="shared" si="1"/>
        <v>574</v>
      </c>
    </row>
    <row r="29" spans="1:5" ht="14.25" customHeight="1">
      <c r="A29" s="1367" t="s">
        <v>198</v>
      </c>
      <c r="B29" s="1371" t="s">
        <v>975</v>
      </c>
      <c r="C29" s="1371">
        <v>38</v>
      </c>
      <c r="D29" s="1371">
        <v>14</v>
      </c>
      <c r="E29" s="1372">
        <f t="shared" si="1"/>
        <v>52</v>
      </c>
    </row>
    <row r="30" spans="1:5" ht="14.25" customHeight="1">
      <c r="A30" s="1367" t="s">
        <v>259</v>
      </c>
      <c r="B30" s="1371" t="s">
        <v>976</v>
      </c>
      <c r="C30" s="1371">
        <f>2*12*1950/1000</f>
        <v>46.8</v>
      </c>
      <c r="D30" s="1371">
        <v>24</v>
      </c>
      <c r="E30" s="1372">
        <f t="shared" si="1"/>
        <v>70.8</v>
      </c>
    </row>
    <row r="31" spans="1:5" ht="14.25" customHeight="1">
      <c r="A31" s="1367" t="s">
        <v>262</v>
      </c>
      <c r="B31" s="1371" t="s">
        <v>1346</v>
      </c>
      <c r="C31" s="1371"/>
      <c r="D31" s="1371"/>
      <c r="E31" s="1372">
        <f t="shared" si="1"/>
        <v>0</v>
      </c>
    </row>
    <row r="32" spans="1:9" ht="14.25" customHeight="1">
      <c r="A32" s="1367" t="s">
        <v>264</v>
      </c>
      <c r="B32" s="1371" t="s">
        <v>93</v>
      </c>
      <c r="C32" s="1371">
        <f>C25-C27-C28-C29-C30</f>
        <v>3930.2</v>
      </c>
      <c r="D32" s="1371">
        <v>2053</v>
      </c>
      <c r="E32" s="1372">
        <f t="shared" si="1"/>
        <v>5983.2</v>
      </c>
      <c r="I32" s="1248"/>
    </row>
    <row r="33" spans="1:5" ht="14.25" customHeight="1">
      <c r="A33" s="1367"/>
      <c r="B33" s="1368" t="s">
        <v>1262</v>
      </c>
      <c r="C33" s="1368"/>
      <c r="D33" s="1368"/>
      <c r="E33" s="1372">
        <f t="shared" si="1"/>
        <v>0</v>
      </c>
    </row>
    <row r="34" spans="1:10" ht="14.25" customHeight="1">
      <c r="A34" s="1367"/>
      <c r="B34" s="1368" t="s">
        <v>1263</v>
      </c>
      <c r="C34" s="1368"/>
      <c r="D34" s="1368">
        <v>60</v>
      </c>
      <c r="E34" s="1370">
        <f t="shared" si="1"/>
        <v>60</v>
      </c>
      <c r="J34" s="1248">
        <f>D25-D42</f>
        <v>0</v>
      </c>
    </row>
    <row r="35" spans="1:5" ht="14.25" customHeight="1">
      <c r="A35" s="1367"/>
      <c r="B35" s="1368" t="s">
        <v>1264</v>
      </c>
      <c r="C35" s="1368"/>
      <c r="D35" s="1368">
        <v>160</v>
      </c>
      <c r="E35" s="1370">
        <f t="shared" si="1"/>
        <v>160</v>
      </c>
    </row>
    <row r="36" spans="1:9" ht="14.25" customHeight="1">
      <c r="A36" s="1367"/>
      <c r="B36" s="1368" t="s">
        <v>1265</v>
      </c>
      <c r="C36" s="1368"/>
      <c r="D36" s="1368"/>
      <c r="E36" s="1370">
        <f t="shared" si="1"/>
        <v>0</v>
      </c>
      <c r="G36" s="1248"/>
      <c r="I36" s="1248"/>
    </row>
    <row r="37" spans="1:5" ht="14.25" customHeight="1">
      <c r="A37" s="1367"/>
      <c r="B37" s="1368" t="s">
        <v>1268</v>
      </c>
      <c r="C37" s="1368"/>
      <c r="D37" s="1368">
        <v>50</v>
      </c>
      <c r="E37" s="1370">
        <f t="shared" si="1"/>
        <v>50</v>
      </c>
    </row>
    <row r="38" spans="1:5" ht="14.25" customHeight="1">
      <c r="A38" s="1367"/>
      <c r="B38" s="1368" t="s">
        <v>1269</v>
      </c>
      <c r="C38" s="1371">
        <v>0</v>
      </c>
      <c r="D38" s="1368">
        <v>54</v>
      </c>
      <c r="E38" s="1370">
        <f t="shared" si="1"/>
        <v>54</v>
      </c>
    </row>
    <row r="39" spans="1:5" ht="14.25" customHeight="1">
      <c r="A39" s="1367" t="s">
        <v>265</v>
      </c>
      <c r="B39" s="1371" t="s">
        <v>96</v>
      </c>
      <c r="C39" s="1371">
        <v>0</v>
      </c>
      <c r="D39" s="1371">
        <v>160</v>
      </c>
      <c r="E39" s="1372">
        <f t="shared" si="1"/>
        <v>160</v>
      </c>
    </row>
    <row r="40" spans="1:5" ht="14.25" customHeight="1">
      <c r="A40" s="1367" t="s">
        <v>1347</v>
      </c>
      <c r="B40" s="1371" t="s">
        <v>1348</v>
      </c>
      <c r="C40" s="1371">
        <v>0</v>
      </c>
      <c r="D40" s="1371">
        <v>0</v>
      </c>
      <c r="E40" s="1372">
        <f t="shared" si="1"/>
        <v>0</v>
      </c>
    </row>
    <row r="41" spans="1:5" ht="14.25" customHeight="1">
      <c r="A41" s="1367" t="s">
        <v>1349</v>
      </c>
      <c r="B41" s="1371" t="s">
        <v>99</v>
      </c>
      <c r="C41" s="1371"/>
      <c r="D41" s="1371"/>
      <c r="E41" s="1372"/>
    </row>
    <row r="42" spans="1:5" ht="19.5" customHeight="1">
      <c r="A42" s="1931" t="s">
        <v>410</v>
      </c>
      <c r="B42" s="1932"/>
      <c r="C42" s="1374">
        <f>SUM(C27:C32,C39,C41)</f>
        <v>5640</v>
      </c>
      <c r="D42" s="1374">
        <f>SUM(D27:D32,D39,D41)</f>
        <v>3240</v>
      </c>
      <c r="E42" s="1376">
        <f>C42+D42</f>
        <v>8880</v>
      </c>
    </row>
    <row r="43" ht="15">
      <c r="E43" s="1249"/>
    </row>
  </sheetData>
  <mergeCells count="8">
    <mergeCell ref="A3:E3"/>
    <mergeCell ref="A4:E4"/>
    <mergeCell ref="A42:B42"/>
    <mergeCell ref="A26:E26"/>
    <mergeCell ref="A10:E10"/>
    <mergeCell ref="A8:B9"/>
    <mergeCell ref="E8:E9"/>
    <mergeCell ref="A25:B25"/>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indexed="43"/>
  </sheetPr>
  <dimension ref="A1:M1890"/>
  <sheetViews>
    <sheetView workbookViewId="0" topLeftCell="B302">
      <selection activeCell="B302" sqref="A1:IV16384"/>
    </sheetView>
  </sheetViews>
  <sheetFormatPr defaultColWidth="9.140625" defaultRowHeight="12.75"/>
  <cols>
    <col min="1" max="1" width="0" style="492" hidden="1" customWidth="1"/>
    <col min="2" max="2" width="50.28125" style="492" customWidth="1"/>
    <col min="3" max="3" width="51.28125" style="1161" customWidth="1"/>
    <col min="4" max="4" width="10.421875" style="604" hidden="1" customWidth="1"/>
    <col min="5" max="5" width="10.140625" style="604" customWidth="1"/>
    <col min="6" max="6" width="10.57421875" style="604" customWidth="1"/>
    <col min="7" max="8" width="10.28125" style="604" hidden="1" customWidth="1"/>
    <col min="9" max="9" width="9.7109375" style="604" customWidth="1"/>
    <col min="10" max="10" width="11.28125" style="605" hidden="1" customWidth="1"/>
    <col min="11" max="11" width="13.140625" style="492" hidden="1" customWidth="1"/>
    <col min="12" max="12" width="14.57421875" style="492" hidden="1" customWidth="1"/>
    <col min="13" max="13" width="12.28125" style="492" bestFit="1" customWidth="1"/>
    <col min="14" max="16384" width="9.140625" style="492" customWidth="1"/>
  </cols>
  <sheetData>
    <row r="1" spans="9:13" ht="12.75">
      <c r="I1" s="1431" t="s">
        <v>391</v>
      </c>
      <c r="J1" s="1431"/>
      <c r="K1" s="1431"/>
      <c r="L1" s="1431"/>
      <c r="M1" s="1431"/>
    </row>
    <row r="2" spans="2:13" ht="12.75">
      <c r="B2" s="1423" t="s">
        <v>273</v>
      </c>
      <c r="C2" s="1423"/>
      <c r="D2" s="1423"/>
      <c r="E2" s="1423"/>
      <c r="F2" s="1423"/>
      <c r="G2" s="1423"/>
      <c r="H2" s="1423"/>
      <c r="I2" s="1423"/>
      <c r="J2" s="1423"/>
      <c r="K2" s="1423"/>
      <c r="L2" s="1423"/>
      <c r="M2" s="1423"/>
    </row>
    <row r="3" spans="2:13" s="493" customFormat="1" ht="15.75" customHeight="1">
      <c r="B3" s="1424" t="s">
        <v>1326</v>
      </c>
      <c r="C3" s="1424"/>
      <c r="D3" s="1424"/>
      <c r="E3" s="1424"/>
      <c r="F3" s="1424"/>
      <c r="G3" s="1424"/>
      <c r="H3" s="1424"/>
      <c r="I3" s="1424"/>
      <c r="J3" s="1424"/>
      <c r="K3" s="1424"/>
      <c r="L3" s="1424"/>
      <c r="M3" s="1424"/>
    </row>
    <row r="4" ht="12.75">
      <c r="M4" s="1162" t="s">
        <v>274</v>
      </c>
    </row>
    <row r="5" spans="2:13" ht="17.25" customHeight="1">
      <c r="B5" s="1473" t="s">
        <v>632</v>
      </c>
      <c r="C5" s="1476" t="s">
        <v>275</v>
      </c>
      <c r="D5" s="1476" t="s">
        <v>276</v>
      </c>
      <c r="E5" s="1477" t="s">
        <v>871</v>
      </c>
      <c r="F5" s="1477"/>
      <c r="G5" s="1477" t="s">
        <v>887</v>
      </c>
      <c r="H5" s="1477"/>
      <c r="I5" s="1478" t="s">
        <v>94</v>
      </c>
      <c r="J5" s="1479"/>
      <c r="K5" s="1479"/>
      <c r="L5" s="1479"/>
      <c r="M5" s="1480"/>
    </row>
    <row r="6" spans="2:13" ht="12.75" customHeight="1">
      <c r="B6" s="1474"/>
      <c r="C6" s="1414"/>
      <c r="D6" s="1414"/>
      <c r="E6" s="1484" t="s">
        <v>1327</v>
      </c>
      <c r="F6" s="1484" t="s">
        <v>1328</v>
      </c>
      <c r="G6" s="1484" t="s">
        <v>1329</v>
      </c>
      <c r="H6" s="1484" t="s">
        <v>1330</v>
      </c>
      <c r="I6" s="1489" t="s">
        <v>1175</v>
      </c>
      <c r="J6" s="1422" t="s">
        <v>277</v>
      </c>
      <c r="K6" s="1413" t="s">
        <v>876</v>
      </c>
      <c r="L6" s="1413" t="s">
        <v>877</v>
      </c>
      <c r="M6" s="1481" t="s">
        <v>127</v>
      </c>
    </row>
    <row r="7" spans="2:13" ht="12.75" customHeight="1">
      <c r="B7" s="1474"/>
      <c r="C7" s="1414"/>
      <c r="D7" s="1414"/>
      <c r="E7" s="1485"/>
      <c r="F7" s="1485"/>
      <c r="G7" s="1487"/>
      <c r="H7" s="1485"/>
      <c r="I7" s="1490"/>
      <c r="J7" s="1415"/>
      <c r="K7" s="1414"/>
      <c r="L7" s="1414"/>
      <c r="M7" s="1482"/>
    </row>
    <row r="8" spans="2:13" ht="4.5" customHeight="1">
      <c r="B8" s="1475"/>
      <c r="C8" s="1472"/>
      <c r="D8" s="1472"/>
      <c r="E8" s="1486"/>
      <c r="F8" s="1486"/>
      <c r="G8" s="1488"/>
      <c r="H8" s="1486"/>
      <c r="I8" s="1491"/>
      <c r="J8" s="1416"/>
      <c r="K8" s="1472"/>
      <c r="L8" s="1472"/>
      <c r="M8" s="1483"/>
    </row>
    <row r="9" spans="1:13" s="493" customFormat="1" ht="12.75">
      <c r="A9" s="493">
        <v>1</v>
      </c>
      <c r="B9" s="494" t="s">
        <v>953</v>
      </c>
      <c r="C9" s="1163" t="s">
        <v>1331</v>
      </c>
      <c r="D9" s="463"/>
      <c r="E9" s="495">
        <f>SUM('[8]Óvodák'!C16)</f>
        <v>461</v>
      </c>
      <c r="F9" s="496"/>
      <c r="G9" s="497"/>
      <c r="H9" s="497"/>
      <c r="I9" s="1270">
        <f>E9</f>
        <v>461</v>
      </c>
      <c r="J9" s="498">
        <v>2550000</v>
      </c>
      <c r="K9" s="497">
        <f>SUM('[8]Óvodák segéd'!M9)</f>
        <v>63410000</v>
      </c>
      <c r="L9" s="496"/>
      <c r="M9" s="499">
        <f aca="true" t="shared" si="0" ref="M9:M17">SUM(K9:L9)</f>
        <v>63410000</v>
      </c>
    </row>
    <row r="10" spans="1:13" s="493" customFormat="1" ht="12.75">
      <c r="A10" s="493">
        <v>1</v>
      </c>
      <c r="B10" s="500" t="s">
        <v>953</v>
      </c>
      <c r="C10" s="1164" t="s">
        <v>1332</v>
      </c>
      <c r="D10" s="501"/>
      <c r="E10" s="502">
        <f>SUM('[8]Óvodák'!C17)</f>
        <v>1911</v>
      </c>
      <c r="F10" s="503"/>
      <c r="G10" s="502"/>
      <c r="H10" s="502"/>
      <c r="I10" s="1271">
        <f>E10</f>
        <v>1911</v>
      </c>
      <c r="J10" s="504">
        <v>2550000</v>
      </c>
      <c r="K10" s="502">
        <f>SUM('[8]Óvodák segéd'!M10)</f>
        <v>309570000</v>
      </c>
      <c r="L10" s="503"/>
      <c r="M10" s="388">
        <f t="shared" si="0"/>
        <v>309570000</v>
      </c>
    </row>
    <row r="11" spans="1:13" ht="12.75">
      <c r="A11" s="493">
        <v>1</v>
      </c>
      <c r="B11" s="500" t="s">
        <v>953</v>
      </c>
      <c r="C11" s="1164" t="s">
        <v>1333</v>
      </c>
      <c r="D11" s="501"/>
      <c r="E11" s="503"/>
      <c r="F11" s="502">
        <f>SUM('[8]Óvodák'!D23)</f>
        <v>1090</v>
      </c>
      <c r="G11" s="502"/>
      <c r="H11" s="502"/>
      <c r="I11" s="1271">
        <f>F11</f>
        <v>1090</v>
      </c>
      <c r="J11" s="504">
        <v>2550000</v>
      </c>
      <c r="K11" s="503"/>
      <c r="L11" s="502">
        <f>'[8]Óvodák segéd'!M30</f>
        <v>75055000</v>
      </c>
      <c r="M11" s="388">
        <f t="shared" si="0"/>
        <v>75055000</v>
      </c>
    </row>
    <row r="12" spans="1:13" ht="12.75">
      <c r="A12" s="493">
        <v>1</v>
      </c>
      <c r="B12" s="500" t="s">
        <v>953</v>
      </c>
      <c r="C12" s="1164" t="s">
        <v>1334</v>
      </c>
      <c r="D12" s="501"/>
      <c r="E12" s="503"/>
      <c r="F12" s="502">
        <f>SUM('[8]Óvodák'!D24)</f>
        <v>1278</v>
      </c>
      <c r="G12" s="502"/>
      <c r="H12" s="502"/>
      <c r="I12" s="1271">
        <f>F12</f>
        <v>1278</v>
      </c>
      <c r="J12" s="504">
        <v>2550000</v>
      </c>
      <c r="K12" s="503"/>
      <c r="L12" s="502">
        <f>'[8]Óvodák segéd'!M31</f>
        <v>103530000</v>
      </c>
      <c r="M12" s="388">
        <f t="shared" si="0"/>
        <v>103530000</v>
      </c>
    </row>
    <row r="13" spans="1:13" s="493" customFormat="1" ht="51">
      <c r="A13" s="492">
        <v>1</v>
      </c>
      <c r="B13" s="500" t="s">
        <v>953</v>
      </c>
      <c r="C13" s="1165" t="s">
        <v>341</v>
      </c>
      <c r="D13" s="505"/>
      <c r="E13" s="506">
        <f>SUM('[8]Óvodák'!C146)</f>
        <v>18</v>
      </c>
      <c r="F13" s="506">
        <f>SUM('[8]Óvodák'!D151)</f>
        <v>15</v>
      </c>
      <c r="G13" s="507">
        <f>E13*8/12</f>
        <v>12</v>
      </c>
      <c r="H13" s="507">
        <f>F13*4/12</f>
        <v>5</v>
      </c>
      <c r="I13" s="508">
        <f>SUM(G13:H13)</f>
        <v>17</v>
      </c>
      <c r="J13" s="509">
        <v>384000</v>
      </c>
      <c r="K13" s="502">
        <f>G13*J13</f>
        <v>4608000</v>
      </c>
      <c r="L13" s="502">
        <f>H13*J13</f>
        <v>1920000</v>
      </c>
      <c r="M13" s="388">
        <f t="shared" si="0"/>
        <v>6528000</v>
      </c>
    </row>
    <row r="14" spans="1:13" s="493" customFormat="1" ht="51">
      <c r="A14" s="492">
        <v>1</v>
      </c>
      <c r="B14" s="500" t="s">
        <v>953</v>
      </c>
      <c r="C14" s="1165" t="s">
        <v>716</v>
      </c>
      <c r="D14" s="509"/>
      <c r="E14" s="506">
        <f>SUM('[8]Óvodák'!C158)</f>
        <v>34</v>
      </c>
      <c r="F14" s="510"/>
      <c r="G14" s="507">
        <f>E14*8/12</f>
        <v>22.666666666666668</v>
      </c>
      <c r="H14" s="511"/>
      <c r="I14" s="508">
        <f>SUM(G14:H14)</f>
        <v>22.666666666666668</v>
      </c>
      <c r="J14" s="509">
        <v>192000</v>
      </c>
      <c r="K14" s="502">
        <f>G14*J14</f>
        <v>4352000</v>
      </c>
      <c r="L14" s="503"/>
      <c r="M14" s="388">
        <f t="shared" si="0"/>
        <v>4352000</v>
      </c>
    </row>
    <row r="15" spans="1:13" ht="51">
      <c r="A15" s="492">
        <v>1</v>
      </c>
      <c r="B15" s="500" t="s">
        <v>953</v>
      </c>
      <c r="C15" s="1165" t="s">
        <v>1336</v>
      </c>
      <c r="D15" s="505"/>
      <c r="E15" s="510"/>
      <c r="F15" s="506">
        <f>SUM('[8]Óvodák'!D164)</f>
        <v>16</v>
      </c>
      <c r="G15" s="506"/>
      <c r="H15" s="507">
        <f>F15*4/12</f>
        <v>5.333333333333333</v>
      </c>
      <c r="I15" s="508">
        <f>SUM(G15:H15)</f>
        <v>5.333333333333333</v>
      </c>
      <c r="J15" s="509">
        <v>192000</v>
      </c>
      <c r="K15" s="510"/>
      <c r="L15" s="502">
        <f>H15*J15</f>
        <v>1024000</v>
      </c>
      <c r="M15" s="388">
        <f t="shared" si="0"/>
        <v>1024000</v>
      </c>
    </row>
    <row r="16" spans="1:13" s="493" customFormat="1" ht="38.25">
      <c r="A16" s="492">
        <v>1</v>
      </c>
      <c r="B16" s="500" t="s">
        <v>953</v>
      </c>
      <c r="C16" s="1165" t="s">
        <v>1337</v>
      </c>
      <c r="D16" s="505"/>
      <c r="E16" s="510"/>
      <c r="F16" s="506">
        <f>SUM('[8]Óvodák'!D170)</f>
        <v>18</v>
      </c>
      <c r="G16" s="506"/>
      <c r="H16" s="507">
        <f>F16*4/12</f>
        <v>6</v>
      </c>
      <c r="I16" s="508">
        <f>SUM(G16:H16)</f>
        <v>6</v>
      </c>
      <c r="J16" s="509">
        <v>144000</v>
      </c>
      <c r="K16" s="510"/>
      <c r="L16" s="506">
        <f>I16*J16</f>
        <v>864000</v>
      </c>
      <c r="M16" s="388">
        <f t="shared" si="0"/>
        <v>864000</v>
      </c>
    </row>
    <row r="17" spans="1:13" s="493" customFormat="1" ht="25.5">
      <c r="A17" s="492">
        <v>1</v>
      </c>
      <c r="B17" s="500" t="s">
        <v>953</v>
      </c>
      <c r="C17" s="1165" t="s">
        <v>1499</v>
      </c>
      <c r="D17" s="505"/>
      <c r="E17" s="506">
        <f>SUM('[8]Óvodák'!C194)</f>
        <v>32.5</v>
      </c>
      <c r="F17" s="506">
        <f>SUM('[8]Óvodák'!D199)</f>
        <v>33</v>
      </c>
      <c r="G17" s="502">
        <f>E17*8/12+0.333333</f>
        <v>21.999999666666668</v>
      </c>
      <c r="H17" s="502">
        <f>F17*4/12</f>
        <v>11</v>
      </c>
      <c r="I17" s="512">
        <f>ROUND(SUM(G17:H17),0)</f>
        <v>33</v>
      </c>
      <c r="J17" s="509">
        <v>45000</v>
      </c>
      <c r="K17" s="502">
        <f>G17*J17</f>
        <v>989999.985</v>
      </c>
      <c r="L17" s="502">
        <f>H17*J17</f>
        <v>495000</v>
      </c>
      <c r="M17" s="388">
        <f t="shared" si="0"/>
        <v>1484999.9849999999</v>
      </c>
    </row>
    <row r="18" spans="1:13" s="493" customFormat="1" ht="25.5">
      <c r="A18" s="492">
        <v>1</v>
      </c>
      <c r="B18" s="513" t="s">
        <v>953</v>
      </c>
      <c r="C18" s="1166" t="s">
        <v>1508</v>
      </c>
      <c r="D18" s="514"/>
      <c r="E18" s="1272">
        <f>SUM('[8]Óvodák'!C257)</f>
        <v>880</v>
      </c>
      <c r="F18" s="515">
        <f>SUM('[8]Óvodák'!D263)</f>
        <v>0</v>
      </c>
      <c r="G18" s="515"/>
      <c r="H18" s="515"/>
      <c r="I18" s="516">
        <f>SUM(E18:F18)</f>
        <v>880</v>
      </c>
      <c r="J18" s="517">
        <v>55000</v>
      </c>
      <c r="K18" s="518"/>
      <c r="L18" s="518"/>
      <c r="M18" s="519">
        <f>I18*J18</f>
        <v>48400000</v>
      </c>
    </row>
    <row r="19" spans="1:13" s="493" customFormat="1" ht="14.25">
      <c r="A19" s="492"/>
      <c r="B19" s="1425" t="s">
        <v>1338</v>
      </c>
      <c r="C19" s="1426"/>
      <c r="D19" s="1426"/>
      <c r="E19" s="1426"/>
      <c r="F19" s="1426"/>
      <c r="G19" s="1426"/>
      <c r="H19" s="1426"/>
      <c r="I19" s="1427"/>
      <c r="J19" s="466"/>
      <c r="K19" s="520"/>
      <c r="L19" s="520"/>
      <c r="M19" s="521">
        <f>SUM(M9:M18)</f>
        <v>614217999.985</v>
      </c>
    </row>
    <row r="20" spans="1:13" s="493" customFormat="1" ht="25.5">
      <c r="A20" s="493">
        <v>2</v>
      </c>
      <c r="B20" s="554" t="s">
        <v>717</v>
      </c>
      <c r="C20" s="1163" t="s">
        <v>1339</v>
      </c>
      <c r="D20" s="463"/>
      <c r="E20" s="497">
        <f>SUM('[8]Kodály'!C27)</f>
        <v>79</v>
      </c>
      <c r="F20" s="496"/>
      <c r="G20" s="497"/>
      <c r="H20" s="497"/>
      <c r="I20" s="497"/>
      <c r="J20" s="498">
        <v>2550000</v>
      </c>
      <c r="K20" s="497">
        <f>SUM('[8]Kodály segéd'!M11)</f>
        <v>7650000</v>
      </c>
      <c r="L20" s="496"/>
      <c r="M20" s="499">
        <f aca="true" t="shared" si="1" ref="M20:M44">SUM(K20:L20)</f>
        <v>7650000</v>
      </c>
    </row>
    <row r="21" spans="1:13" s="493" customFormat="1" ht="25.5">
      <c r="A21" s="493">
        <v>2</v>
      </c>
      <c r="B21" s="1053" t="s">
        <v>717</v>
      </c>
      <c r="C21" s="1164" t="s">
        <v>718</v>
      </c>
      <c r="D21" s="501"/>
      <c r="E21" s="502">
        <f>SUM('[8]Kodály'!C28)</f>
        <v>133</v>
      </c>
      <c r="F21" s="503"/>
      <c r="G21" s="502"/>
      <c r="H21" s="502"/>
      <c r="I21" s="502"/>
      <c r="J21" s="504">
        <v>2550000</v>
      </c>
      <c r="K21" s="502">
        <f>SUM('[8]Kodály segéd'!M12)</f>
        <v>16234000</v>
      </c>
      <c r="L21" s="503"/>
      <c r="M21" s="388">
        <f t="shared" si="1"/>
        <v>16234000</v>
      </c>
    </row>
    <row r="22" spans="1:13" s="493" customFormat="1" ht="25.5">
      <c r="A22" s="493">
        <v>2</v>
      </c>
      <c r="B22" s="1053" t="s">
        <v>717</v>
      </c>
      <c r="C22" s="1164" t="s">
        <v>1468</v>
      </c>
      <c r="D22" s="501"/>
      <c r="E22" s="502">
        <f>SUM('[8]Kodály'!C29)</f>
        <v>71</v>
      </c>
      <c r="F22" s="503"/>
      <c r="G22" s="502"/>
      <c r="H22" s="502"/>
      <c r="I22" s="502"/>
      <c r="J22" s="504">
        <v>2550000</v>
      </c>
      <c r="K22" s="502">
        <f>SUM('[8]Kodály segéd'!M13)</f>
        <v>10417812.5</v>
      </c>
      <c r="L22" s="503"/>
      <c r="M22" s="388">
        <f t="shared" si="1"/>
        <v>10417812.5</v>
      </c>
    </row>
    <row r="23" spans="1:13" s="493" customFormat="1" ht="25.5">
      <c r="A23" s="493">
        <v>2</v>
      </c>
      <c r="B23" s="1053" t="s">
        <v>717</v>
      </c>
      <c r="C23" s="1164" t="s">
        <v>719</v>
      </c>
      <c r="D23" s="501"/>
      <c r="E23" s="502">
        <f>SUM('[8]Kodály'!C30)</f>
        <v>87</v>
      </c>
      <c r="F23" s="503"/>
      <c r="G23" s="502"/>
      <c r="H23" s="502"/>
      <c r="I23" s="502"/>
      <c r="J23" s="504">
        <v>2550000</v>
      </c>
      <c r="K23" s="502">
        <f>SUM('[8]Kodály segéd'!M14)</f>
        <v>10030000</v>
      </c>
      <c r="L23" s="503"/>
      <c r="M23" s="388">
        <f t="shared" si="1"/>
        <v>10030000</v>
      </c>
    </row>
    <row r="24" spans="1:13" s="493" customFormat="1" ht="25.5">
      <c r="A24" s="493">
        <v>2</v>
      </c>
      <c r="B24" s="1053" t="s">
        <v>717</v>
      </c>
      <c r="C24" s="1164" t="s">
        <v>1469</v>
      </c>
      <c r="D24" s="501"/>
      <c r="E24" s="502">
        <f>SUM('[8]Kodály'!C31)</f>
        <v>105</v>
      </c>
      <c r="F24" s="503"/>
      <c r="G24" s="502"/>
      <c r="H24" s="502"/>
      <c r="I24" s="502"/>
      <c r="J24" s="504">
        <v>2550000</v>
      </c>
      <c r="K24" s="502">
        <f>SUM('[8]Kodály segéd'!M15)</f>
        <v>13884750.000000002</v>
      </c>
      <c r="L24" s="503"/>
      <c r="M24" s="388">
        <f t="shared" si="1"/>
        <v>13884750.000000002</v>
      </c>
    </row>
    <row r="25" spans="1:13" s="493" customFormat="1" ht="25.5">
      <c r="A25" s="493">
        <v>2</v>
      </c>
      <c r="B25" s="1053" t="s">
        <v>717</v>
      </c>
      <c r="C25" s="1164" t="s">
        <v>1470</v>
      </c>
      <c r="D25" s="501"/>
      <c r="E25" s="502">
        <f>SUM('[8]Kodály'!C32)</f>
        <v>200</v>
      </c>
      <c r="F25" s="503"/>
      <c r="G25" s="502"/>
      <c r="H25" s="502"/>
      <c r="I25" s="502"/>
      <c r="J25" s="504">
        <v>2550000</v>
      </c>
      <c r="K25" s="502">
        <f>SUM('[8]Kodály segéd'!M16)</f>
        <v>29920000</v>
      </c>
      <c r="L25" s="503"/>
      <c r="M25" s="388">
        <f t="shared" si="1"/>
        <v>29920000</v>
      </c>
    </row>
    <row r="26" spans="1:13" s="493" customFormat="1" ht="25.5">
      <c r="A26" s="493">
        <v>2</v>
      </c>
      <c r="B26" s="1053" t="s">
        <v>717</v>
      </c>
      <c r="C26" s="1164" t="s">
        <v>1471</v>
      </c>
      <c r="D26" s="504"/>
      <c r="E26" s="503"/>
      <c r="F26" s="502">
        <f>SUM('[8]Kodály'!D34)</f>
        <v>139</v>
      </c>
      <c r="G26" s="502"/>
      <c r="H26" s="502"/>
      <c r="I26" s="502"/>
      <c r="J26" s="504">
        <v>2550000</v>
      </c>
      <c r="K26" s="503"/>
      <c r="L26" s="502">
        <f>SUM('[8]Kodály segéd'!M32)</f>
        <v>6787857.571428571</v>
      </c>
      <c r="M26" s="388">
        <f t="shared" si="1"/>
        <v>6787857.571428571</v>
      </c>
    </row>
    <row r="27" spans="1:13" s="493" customFormat="1" ht="25.5">
      <c r="A27" s="493">
        <v>2</v>
      </c>
      <c r="B27" s="1053" t="s">
        <v>717</v>
      </c>
      <c r="C27" s="1164" t="s">
        <v>1472</v>
      </c>
      <c r="D27" s="504"/>
      <c r="E27" s="503"/>
      <c r="F27" s="502">
        <f>SUM('[8]Kodály'!D35)</f>
        <v>58</v>
      </c>
      <c r="G27" s="502"/>
      <c r="H27" s="502"/>
      <c r="I27" s="502"/>
      <c r="J27" s="504">
        <v>2550000</v>
      </c>
      <c r="K27" s="503"/>
      <c r="L27" s="502">
        <f>SUM('[8]Kodály segéd'!M33)</f>
        <v>3551000</v>
      </c>
      <c r="M27" s="388">
        <f t="shared" si="1"/>
        <v>3551000</v>
      </c>
    </row>
    <row r="28" spans="1:13" s="493" customFormat="1" ht="25.5">
      <c r="A28" s="493">
        <v>2</v>
      </c>
      <c r="B28" s="1053" t="s">
        <v>717</v>
      </c>
      <c r="C28" s="1164" t="s">
        <v>1473</v>
      </c>
      <c r="D28" s="504"/>
      <c r="E28" s="503"/>
      <c r="F28" s="502">
        <f>SUM('[8]Kodály'!D36)</f>
        <v>75</v>
      </c>
      <c r="G28" s="502"/>
      <c r="H28" s="502"/>
      <c r="I28" s="502"/>
      <c r="J28" s="504">
        <v>2550000</v>
      </c>
      <c r="K28" s="503"/>
      <c r="L28" s="502">
        <f>SUM('[8]Kodály segéd'!M34)</f>
        <v>5566437.249999999</v>
      </c>
      <c r="M28" s="388">
        <f t="shared" si="1"/>
        <v>5566437.249999999</v>
      </c>
    </row>
    <row r="29" spans="1:13" s="493" customFormat="1" ht="25.5">
      <c r="A29" s="493">
        <v>2</v>
      </c>
      <c r="B29" s="1053" t="s">
        <v>717</v>
      </c>
      <c r="C29" s="1164" t="s">
        <v>1474</v>
      </c>
      <c r="D29" s="504"/>
      <c r="E29" s="503"/>
      <c r="F29" s="502">
        <f>SUM('[8]Kodály'!D37)</f>
        <v>158</v>
      </c>
      <c r="G29" s="502"/>
      <c r="H29" s="502"/>
      <c r="I29" s="502"/>
      <c r="J29" s="504">
        <v>2550000</v>
      </c>
      <c r="K29" s="503"/>
      <c r="L29" s="502">
        <f>SUM('[8]Kodály segéd'!M35)</f>
        <v>9010000.173913045</v>
      </c>
      <c r="M29" s="388">
        <f t="shared" si="1"/>
        <v>9010000.173913045</v>
      </c>
    </row>
    <row r="30" spans="1:13" s="493" customFormat="1" ht="25.5">
      <c r="A30" s="493">
        <v>2</v>
      </c>
      <c r="B30" s="1053" t="s">
        <v>717</v>
      </c>
      <c r="C30" s="1164" t="s">
        <v>720</v>
      </c>
      <c r="D30" s="504"/>
      <c r="E30" s="503"/>
      <c r="F30" s="502">
        <f>SUM('[8]Kodály'!D38)</f>
        <v>196</v>
      </c>
      <c r="G30" s="502"/>
      <c r="H30" s="502"/>
      <c r="I30" s="502"/>
      <c r="J30" s="504">
        <v>2550000</v>
      </c>
      <c r="K30" s="503"/>
      <c r="L30" s="502">
        <f>SUM('[8]Kodály segéd'!M36)</f>
        <v>14637000</v>
      </c>
      <c r="M30" s="388">
        <f t="shared" si="1"/>
        <v>14637000</v>
      </c>
    </row>
    <row r="31" spans="1:13" s="493" customFormat="1" ht="25.5">
      <c r="A31" s="492">
        <v>2</v>
      </c>
      <c r="B31" s="1053" t="s">
        <v>717</v>
      </c>
      <c r="C31" s="1165" t="s">
        <v>579</v>
      </c>
      <c r="D31" s="509"/>
      <c r="E31" s="506">
        <f>SUM('[8]Kodály'!C66)</f>
        <v>56.2</v>
      </c>
      <c r="F31" s="510"/>
      <c r="G31" s="507">
        <f>E31*8/12</f>
        <v>37.46666666666667</v>
      </c>
      <c r="H31" s="506"/>
      <c r="I31" s="512">
        <f>SUM(G31:H31)</f>
        <v>37.46666666666667</v>
      </c>
      <c r="J31" s="509">
        <v>40000</v>
      </c>
      <c r="K31" s="502">
        <f>J31*I31</f>
        <v>1498666.6666666667</v>
      </c>
      <c r="L31" s="503"/>
      <c r="M31" s="388">
        <f t="shared" si="1"/>
        <v>1498666.6666666667</v>
      </c>
    </row>
    <row r="32" spans="1:13" s="493" customFormat="1" ht="25.5">
      <c r="A32" s="492">
        <v>2</v>
      </c>
      <c r="B32" s="1053" t="s">
        <v>717</v>
      </c>
      <c r="C32" s="1165" t="s">
        <v>580</v>
      </c>
      <c r="D32" s="104"/>
      <c r="E32" s="503"/>
      <c r="F32" s="506">
        <f>SUM('[8]Kodály'!D74)</f>
        <v>53.2</v>
      </c>
      <c r="G32" s="502"/>
      <c r="H32" s="502"/>
      <c r="I32" s="502">
        <f>F32</f>
        <v>53.2</v>
      </c>
      <c r="J32" s="504">
        <v>2500000</v>
      </c>
      <c r="K32" s="503"/>
      <c r="L32" s="502">
        <f>'[8]Kodály segéd'!M42</f>
        <v>344080</v>
      </c>
      <c r="M32" s="388">
        <f t="shared" si="1"/>
        <v>344080</v>
      </c>
    </row>
    <row r="33" spans="1:13" s="493" customFormat="1" ht="25.5">
      <c r="A33" s="492">
        <v>2</v>
      </c>
      <c r="B33" s="1053" t="s">
        <v>717</v>
      </c>
      <c r="C33" s="1165" t="s">
        <v>721</v>
      </c>
      <c r="D33" s="505"/>
      <c r="E33" s="502">
        <f>SUM('[8]Kodály'!C100)</f>
        <v>37</v>
      </c>
      <c r="F33" s="510"/>
      <c r="G33" s="506"/>
      <c r="H33" s="506"/>
      <c r="I33" s="511">
        <f>E33/12*8+0.2266667</f>
        <v>24.893333366666667</v>
      </c>
      <c r="J33" s="509">
        <v>23000</v>
      </c>
      <c r="K33" s="502">
        <f>I33*J33</f>
        <v>572546.6674333334</v>
      </c>
      <c r="L33" s="503"/>
      <c r="M33" s="388">
        <f t="shared" si="1"/>
        <v>572546.6674333334</v>
      </c>
    </row>
    <row r="34" spans="1:13" s="493" customFormat="1" ht="25.5">
      <c r="A34" s="492">
        <v>2</v>
      </c>
      <c r="B34" s="1053" t="s">
        <v>717</v>
      </c>
      <c r="C34" s="1165" t="s">
        <v>382</v>
      </c>
      <c r="D34" s="505"/>
      <c r="E34" s="506">
        <f>SUM('[8]Kodály'!C101)</f>
        <v>283</v>
      </c>
      <c r="F34" s="510"/>
      <c r="G34" s="502">
        <f>E34*8/12</f>
        <v>188.66666666666666</v>
      </c>
      <c r="H34" s="502">
        <f>F34*4/12</f>
        <v>0</v>
      </c>
      <c r="I34" s="512">
        <f>SUM(G34:H34)</f>
        <v>188.66666666666666</v>
      </c>
      <c r="J34" s="509">
        <v>32200</v>
      </c>
      <c r="K34" s="502">
        <f>J34*I34</f>
        <v>6075066.666666666</v>
      </c>
      <c r="L34" s="503"/>
      <c r="M34" s="388">
        <f t="shared" si="1"/>
        <v>6075066.666666666</v>
      </c>
    </row>
    <row r="35" spans="1:13" s="493" customFormat="1" ht="25.5">
      <c r="A35" s="492">
        <v>2</v>
      </c>
      <c r="B35" s="1053" t="s">
        <v>717</v>
      </c>
      <c r="C35" s="1167" t="s">
        <v>581</v>
      </c>
      <c r="D35" s="104"/>
      <c r="E35" s="503"/>
      <c r="F35" s="502">
        <f>SUM('[8]Kodály'!D104)</f>
        <v>19</v>
      </c>
      <c r="G35" s="502"/>
      <c r="H35" s="502"/>
      <c r="I35" s="502"/>
      <c r="J35" s="504">
        <v>2550000</v>
      </c>
      <c r="K35" s="503"/>
      <c r="L35" s="502">
        <f>SUM('[8]Kodály segéd'!M45)</f>
        <v>114240</v>
      </c>
      <c r="M35" s="388">
        <f t="shared" si="1"/>
        <v>114240</v>
      </c>
    </row>
    <row r="36" spans="1:13" s="493" customFormat="1" ht="25.5">
      <c r="A36" s="492">
        <v>2</v>
      </c>
      <c r="B36" s="1053" t="s">
        <v>717</v>
      </c>
      <c r="C36" s="1167" t="s">
        <v>582</v>
      </c>
      <c r="D36" s="104"/>
      <c r="E36" s="503"/>
      <c r="F36" s="506">
        <f>SUM('[8]Kodály'!D105)</f>
        <v>139</v>
      </c>
      <c r="G36" s="502"/>
      <c r="H36" s="502"/>
      <c r="I36" s="502"/>
      <c r="J36" s="504">
        <v>2550000</v>
      </c>
      <c r="K36" s="503"/>
      <c r="L36" s="502">
        <f>SUM('[8]Kodály segéd'!M46)</f>
        <v>1499642.4285714284</v>
      </c>
      <c r="M36" s="388">
        <f t="shared" si="1"/>
        <v>1499642.4285714284</v>
      </c>
    </row>
    <row r="37" spans="1:13" s="493" customFormat="1" ht="25.5">
      <c r="A37" s="492">
        <v>2</v>
      </c>
      <c r="B37" s="1053" t="s">
        <v>717</v>
      </c>
      <c r="C37" s="1167" t="s">
        <v>583</v>
      </c>
      <c r="D37" s="104"/>
      <c r="E37" s="503"/>
      <c r="F37" s="506">
        <f>SUM('[8]Kodály'!D106)</f>
        <v>58</v>
      </c>
      <c r="G37" s="502"/>
      <c r="H37" s="502"/>
      <c r="I37" s="502"/>
      <c r="J37" s="504">
        <v>2550000</v>
      </c>
      <c r="K37" s="503"/>
      <c r="L37" s="502">
        <f>SUM('[8]Kodály segéd'!M47)</f>
        <v>765000</v>
      </c>
      <c r="M37" s="388">
        <f t="shared" si="1"/>
        <v>765000</v>
      </c>
    </row>
    <row r="38" spans="1:13" s="493" customFormat="1" ht="25.5">
      <c r="A38" s="492">
        <v>2</v>
      </c>
      <c r="B38" s="1053" t="s">
        <v>717</v>
      </c>
      <c r="C38" s="1167" t="s">
        <v>584</v>
      </c>
      <c r="D38" s="104"/>
      <c r="E38" s="503"/>
      <c r="F38" s="506">
        <f>SUM('[8]Kodály'!D107)</f>
        <v>75</v>
      </c>
      <c r="G38" s="502"/>
      <c r="H38" s="502"/>
      <c r="I38" s="502"/>
      <c r="J38" s="504">
        <v>2550000</v>
      </c>
      <c r="K38" s="503"/>
      <c r="L38" s="502">
        <f>SUM('[8]Kodály segéd'!M48)</f>
        <v>1105000</v>
      </c>
      <c r="M38" s="388">
        <f t="shared" si="1"/>
        <v>1105000</v>
      </c>
    </row>
    <row r="39" spans="1:13" s="493" customFormat="1" ht="54" customHeight="1">
      <c r="A39" s="492">
        <v>2</v>
      </c>
      <c r="B39" s="1053" t="s">
        <v>717</v>
      </c>
      <c r="C39" s="1165" t="s">
        <v>585</v>
      </c>
      <c r="D39" s="509"/>
      <c r="E39" s="506">
        <f>SUM('[8]Kodály'!C134)</f>
        <v>3</v>
      </c>
      <c r="F39" s="506">
        <f>SUM('[8]Kodály'!D138)</f>
        <v>1</v>
      </c>
      <c r="G39" s="507">
        <f>E39*8/12</f>
        <v>2</v>
      </c>
      <c r="H39" s="507">
        <f>F39*4/12</f>
        <v>0.3333333333333333</v>
      </c>
      <c r="I39" s="508">
        <f aca="true" t="shared" si="2" ref="I39:I44">SUM(G39:H39)</f>
        <v>2.3333333333333335</v>
      </c>
      <c r="J39" s="509">
        <v>240000</v>
      </c>
      <c r="K39" s="502">
        <f>G39*J39</f>
        <v>480000</v>
      </c>
      <c r="L39" s="502">
        <f>H39*J39</f>
        <v>80000</v>
      </c>
      <c r="M39" s="388">
        <f t="shared" si="1"/>
        <v>560000</v>
      </c>
    </row>
    <row r="40" spans="1:13" s="493" customFormat="1" ht="51">
      <c r="A40" s="492">
        <v>2</v>
      </c>
      <c r="B40" s="1053" t="s">
        <v>717</v>
      </c>
      <c r="C40" s="1165" t="s">
        <v>341</v>
      </c>
      <c r="D40" s="505"/>
      <c r="E40" s="506">
        <f>SUM('[8]Kodály'!C146)</f>
        <v>3</v>
      </c>
      <c r="F40" s="502">
        <f>SUM('[8]Kodály'!D153)</f>
        <v>3</v>
      </c>
      <c r="G40" s="507">
        <f>E40*8/12</f>
        <v>2</v>
      </c>
      <c r="H40" s="507">
        <f>F40*4/12</f>
        <v>1</v>
      </c>
      <c r="I40" s="508">
        <f t="shared" si="2"/>
        <v>3</v>
      </c>
      <c r="J40" s="509">
        <v>384000</v>
      </c>
      <c r="K40" s="502">
        <f>G40*J40</f>
        <v>768000</v>
      </c>
      <c r="L40" s="502">
        <f>H40*J40</f>
        <v>384000</v>
      </c>
      <c r="M40" s="388">
        <f t="shared" si="1"/>
        <v>1152000</v>
      </c>
    </row>
    <row r="41" spans="1:13" s="493" customFormat="1" ht="51">
      <c r="A41" s="492">
        <v>2</v>
      </c>
      <c r="B41" s="1053" t="s">
        <v>717</v>
      </c>
      <c r="C41" s="1165" t="s">
        <v>716</v>
      </c>
      <c r="D41" s="509"/>
      <c r="E41" s="506">
        <f>SUM('[8]Kodály'!C159)</f>
        <v>70</v>
      </c>
      <c r="F41" s="503"/>
      <c r="G41" s="507">
        <f>E41*8/12</f>
        <v>46.666666666666664</v>
      </c>
      <c r="H41" s="511"/>
      <c r="I41" s="508">
        <f t="shared" si="2"/>
        <v>46.666666666666664</v>
      </c>
      <c r="J41" s="509">
        <v>192000</v>
      </c>
      <c r="K41" s="502">
        <f>G41*J41</f>
        <v>8960000</v>
      </c>
      <c r="L41" s="503"/>
      <c r="M41" s="388">
        <f t="shared" si="1"/>
        <v>8960000</v>
      </c>
    </row>
    <row r="42" spans="1:13" s="493" customFormat="1" ht="42" customHeight="1">
      <c r="A42" s="492">
        <v>2</v>
      </c>
      <c r="B42" s="1053" t="s">
        <v>717</v>
      </c>
      <c r="C42" s="1165" t="s">
        <v>1336</v>
      </c>
      <c r="D42" s="505"/>
      <c r="E42" s="510"/>
      <c r="F42" s="506">
        <f>SUM('[8]Kodály'!D165)</f>
        <v>3</v>
      </c>
      <c r="G42" s="506"/>
      <c r="H42" s="507">
        <f>F42*4/12</f>
        <v>1</v>
      </c>
      <c r="I42" s="508">
        <f t="shared" si="2"/>
        <v>1</v>
      </c>
      <c r="J42" s="509">
        <v>192000</v>
      </c>
      <c r="K42" s="510"/>
      <c r="L42" s="502">
        <f>H42*J42</f>
        <v>192000</v>
      </c>
      <c r="M42" s="388">
        <f t="shared" si="1"/>
        <v>192000</v>
      </c>
    </row>
    <row r="43" spans="1:13" s="493" customFormat="1" ht="38.25">
      <c r="A43" s="492">
        <v>2</v>
      </c>
      <c r="B43" s="1053" t="s">
        <v>717</v>
      </c>
      <c r="C43" s="1165" t="s">
        <v>1337</v>
      </c>
      <c r="D43" s="505"/>
      <c r="E43" s="510"/>
      <c r="F43" s="506">
        <f>SUM('[8]Kodály'!D171)</f>
        <v>31</v>
      </c>
      <c r="G43" s="506"/>
      <c r="H43" s="507">
        <f>F43*4/12</f>
        <v>10.333333333333334</v>
      </c>
      <c r="I43" s="508">
        <f t="shared" si="2"/>
        <v>10.333333333333334</v>
      </c>
      <c r="J43" s="509">
        <v>144000</v>
      </c>
      <c r="K43" s="510"/>
      <c r="L43" s="506">
        <f>I43*J43</f>
        <v>1488000</v>
      </c>
      <c r="M43" s="388">
        <f t="shared" si="1"/>
        <v>1488000</v>
      </c>
    </row>
    <row r="44" spans="1:13" s="493" customFormat="1" ht="38.25">
      <c r="A44" s="492">
        <v>2</v>
      </c>
      <c r="B44" s="1053" t="s">
        <v>717</v>
      </c>
      <c r="C44" s="1165" t="s">
        <v>344</v>
      </c>
      <c r="D44" s="505"/>
      <c r="E44" s="524"/>
      <c r="F44" s="512">
        <f>'[8]Kodály'!D75</f>
        <v>53.2</v>
      </c>
      <c r="G44" s="524"/>
      <c r="H44" s="502">
        <f>F44*4/12</f>
        <v>17.733333333333334</v>
      </c>
      <c r="I44" s="512">
        <f t="shared" si="2"/>
        <v>17.733333333333334</v>
      </c>
      <c r="J44" s="504">
        <v>20000</v>
      </c>
      <c r="K44" s="502">
        <f>G44*J44</f>
        <v>0</v>
      </c>
      <c r="L44" s="502">
        <f>H44*J44</f>
        <v>354666.6666666667</v>
      </c>
      <c r="M44" s="388">
        <f t="shared" si="1"/>
        <v>354666.6666666667</v>
      </c>
    </row>
    <row r="45" spans="1:13" s="493" customFormat="1" ht="25.5">
      <c r="A45" s="492">
        <v>2</v>
      </c>
      <c r="B45" s="1053" t="s">
        <v>717</v>
      </c>
      <c r="C45" s="1165" t="s">
        <v>1508</v>
      </c>
      <c r="D45" s="505"/>
      <c r="E45" s="1273">
        <f>SUM('[8]Kodály'!C258)</f>
        <v>212</v>
      </c>
      <c r="F45" s="1273">
        <f>SUM('[8]Kodály'!D264)</f>
        <v>0</v>
      </c>
      <c r="G45" s="506"/>
      <c r="H45" s="506"/>
      <c r="I45" s="508">
        <f>SUM(E45:F45)</f>
        <v>212</v>
      </c>
      <c r="J45" s="509">
        <v>55000</v>
      </c>
      <c r="K45" s="502"/>
      <c r="L45" s="502"/>
      <c r="M45" s="388">
        <f>I45*J45</f>
        <v>11660000</v>
      </c>
    </row>
    <row r="46" spans="1:13" s="493" customFormat="1" ht="38.25">
      <c r="A46" s="492">
        <v>2</v>
      </c>
      <c r="B46" s="1053" t="s">
        <v>717</v>
      </c>
      <c r="C46" s="1165" t="s">
        <v>586</v>
      </c>
      <c r="D46" s="505"/>
      <c r="E46" s="1274"/>
      <c r="F46" s="1273">
        <f>SUM('[8]Kodály'!D267)</f>
        <v>12</v>
      </c>
      <c r="G46" s="525"/>
      <c r="H46" s="525"/>
      <c r="I46" s="508">
        <f>F46</f>
        <v>12</v>
      </c>
      <c r="J46" s="509">
        <v>16000</v>
      </c>
      <c r="K46" s="502"/>
      <c r="L46" s="502"/>
      <c r="M46" s="388">
        <f>I46*J46</f>
        <v>192000</v>
      </c>
    </row>
    <row r="47" spans="1:13" s="493" customFormat="1" ht="25.5">
      <c r="A47" s="492">
        <v>2</v>
      </c>
      <c r="B47" s="1053" t="s">
        <v>717</v>
      </c>
      <c r="C47" s="1165" t="s">
        <v>1509</v>
      </c>
      <c r="D47" s="505"/>
      <c r="E47" s="510"/>
      <c r="F47" s="1273">
        <f>SUM('[8]Kodály'!D269)</f>
        <v>265</v>
      </c>
      <c r="G47" s="506"/>
      <c r="H47" s="506"/>
      <c r="I47" s="508">
        <f>F47</f>
        <v>265</v>
      </c>
      <c r="J47" s="509">
        <v>10000</v>
      </c>
      <c r="K47" s="503"/>
      <c r="L47" s="502"/>
      <c r="M47" s="388">
        <f>I47*J47</f>
        <v>2650000</v>
      </c>
    </row>
    <row r="48" spans="1:13" s="493" customFormat="1" ht="25.5">
      <c r="A48" s="492">
        <v>2</v>
      </c>
      <c r="B48" s="556" t="s">
        <v>717</v>
      </c>
      <c r="C48" s="1166" t="s">
        <v>878</v>
      </c>
      <c r="D48" s="514"/>
      <c r="E48" s="527"/>
      <c r="F48" s="1272">
        <f>SUM('[8]Kodály'!D270)</f>
        <v>626</v>
      </c>
      <c r="G48" s="515"/>
      <c r="H48" s="515"/>
      <c r="I48" s="516">
        <f>F48</f>
        <v>626</v>
      </c>
      <c r="J48" s="517">
        <v>1000</v>
      </c>
      <c r="K48" s="528"/>
      <c r="L48" s="518"/>
      <c r="M48" s="519">
        <f>I48*J48</f>
        <v>626000</v>
      </c>
    </row>
    <row r="49" spans="1:13" s="493" customFormat="1" ht="14.25">
      <c r="A49" s="492"/>
      <c r="B49" s="1425" t="s">
        <v>722</v>
      </c>
      <c r="C49" s="1426"/>
      <c r="D49" s="1426"/>
      <c r="E49" s="1426"/>
      <c r="F49" s="1426"/>
      <c r="G49" s="1426"/>
      <c r="H49" s="1426"/>
      <c r="I49" s="1427"/>
      <c r="J49" s="466"/>
      <c r="K49" s="529"/>
      <c r="L49" s="530"/>
      <c r="M49" s="521">
        <f>SUM(M20:M48)</f>
        <v>167497766.59134638</v>
      </c>
    </row>
    <row r="50" spans="1:13" s="493" customFormat="1" ht="12.75">
      <c r="A50" s="492">
        <v>3</v>
      </c>
      <c r="B50" s="522" t="s">
        <v>955</v>
      </c>
      <c r="C50" s="1168" t="s">
        <v>587</v>
      </c>
      <c r="D50" s="531"/>
      <c r="E50" s="532">
        <f>SUM('[8]Bartók'!C63)</f>
        <v>401</v>
      </c>
      <c r="F50" s="533"/>
      <c r="G50" s="534">
        <f>E50/12*8</f>
        <v>267.3333333333333</v>
      </c>
      <c r="H50" s="532"/>
      <c r="I50" s="534">
        <f>SUM(G50:H50)</f>
        <v>267.3333333333333</v>
      </c>
      <c r="J50" s="531">
        <v>105000</v>
      </c>
      <c r="K50" s="497">
        <f>J50*I50</f>
        <v>28069999.999999996</v>
      </c>
      <c r="L50" s="496"/>
      <c r="M50" s="499">
        <f>SUM(K50:L50)</f>
        <v>28069999.999999996</v>
      </c>
    </row>
    <row r="51" spans="1:13" s="493" customFormat="1" ht="19.5" customHeight="1">
      <c r="A51" s="492">
        <v>3</v>
      </c>
      <c r="B51" s="523" t="s">
        <v>955</v>
      </c>
      <c r="C51" s="1165" t="s">
        <v>588</v>
      </c>
      <c r="D51" s="104"/>
      <c r="E51" s="503"/>
      <c r="F51" s="506">
        <f>SUM('[8]Bartók'!D71)</f>
        <v>402.5</v>
      </c>
      <c r="G51" s="502"/>
      <c r="H51" s="502"/>
      <c r="I51" s="1271">
        <f>F51</f>
        <v>402.5</v>
      </c>
      <c r="J51" s="504">
        <v>2550000</v>
      </c>
      <c r="K51" s="503"/>
      <c r="L51" s="502">
        <f>SUM('[8]Bartók segéd'!M41)</f>
        <v>7310000</v>
      </c>
      <c r="M51" s="388">
        <f>SUM(K51:L51)</f>
        <v>7310000</v>
      </c>
    </row>
    <row r="52" spans="1:13" s="493" customFormat="1" ht="25.5">
      <c r="A52" s="492">
        <v>3</v>
      </c>
      <c r="B52" s="1275" t="s">
        <v>955</v>
      </c>
      <c r="C52" s="1276" t="s">
        <v>723</v>
      </c>
      <c r="D52" s="1075"/>
      <c r="E52" s="1277"/>
      <c r="F52" s="1278">
        <f>'[8]Bartók'!D71</f>
        <v>402.5</v>
      </c>
      <c r="G52" s="1277"/>
      <c r="H52" s="1278">
        <f>F52*4/12+0.16666633</f>
        <v>134.33333299666666</v>
      </c>
      <c r="I52" s="1279">
        <f>SUM(G52:H52)</f>
        <v>134.33333299666666</v>
      </c>
      <c r="J52" s="1280">
        <v>51000</v>
      </c>
      <c r="K52" s="1278">
        <f>G52*J52</f>
        <v>0</v>
      </c>
      <c r="L52" s="1278">
        <f>H52*J52</f>
        <v>6850999.982829999</v>
      </c>
      <c r="M52" s="1281">
        <f>SUM(K52:L52)</f>
        <v>6850999.982829999</v>
      </c>
    </row>
    <row r="53" spans="1:13" s="493" customFormat="1" ht="14.25">
      <c r="A53" s="492"/>
      <c r="B53" s="1425" t="s">
        <v>589</v>
      </c>
      <c r="C53" s="1426"/>
      <c r="D53" s="1426"/>
      <c r="E53" s="1426"/>
      <c r="F53" s="1426"/>
      <c r="G53" s="1426"/>
      <c r="H53" s="1426"/>
      <c r="I53" s="1427"/>
      <c r="J53" s="1282"/>
      <c r="K53" s="1283"/>
      <c r="L53" s="1283"/>
      <c r="M53" s="1284">
        <f>SUM(M50:M52)</f>
        <v>42230999.98283</v>
      </c>
    </row>
    <row r="54" spans="1:13" s="493" customFormat="1" ht="12.75">
      <c r="A54" s="493">
        <v>4</v>
      </c>
      <c r="B54" s="522" t="s">
        <v>84</v>
      </c>
      <c r="C54" s="1163" t="s">
        <v>1339</v>
      </c>
      <c r="D54" s="463"/>
      <c r="E54" s="497">
        <f>SUM('[8]Fiumei'!C27)</f>
        <v>57</v>
      </c>
      <c r="F54" s="496"/>
      <c r="G54" s="497"/>
      <c r="H54" s="497"/>
      <c r="I54" s="497"/>
      <c r="J54" s="498">
        <v>2550000</v>
      </c>
      <c r="K54" s="497">
        <f>SUM('[8]Fiumei segéd'!M11)</f>
        <v>5610000</v>
      </c>
      <c r="L54" s="496"/>
      <c r="M54" s="499">
        <f aca="true" t="shared" si="3" ref="M54:M74">SUM(K54:L54)</f>
        <v>5610000</v>
      </c>
    </row>
    <row r="55" spans="1:13" s="493" customFormat="1" ht="12.75">
      <c r="A55" s="493">
        <v>4</v>
      </c>
      <c r="B55" s="523" t="s">
        <v>84</v>
      </c>
      <c r="C55" s="1164" t="s">
        <v>718</v>
      </c>
      <c r="D55" s="501"/>
      <c r="E55" s="502">
        <f>SUM('[8]Fiumei'!C28)</f>
        <v>124</v>
      </c>
      <c r="F55" s="503"/>
      <c r="G55" s="502"/>
      <c r="H55" s="502"/>
      <c r="I55" s="502"/>
      <c r="J55" s="504">
        <v>2550000</v>
      </c>
      <c r="K55" s="502">
        <f>SUM('[8]Fiumei segéd'!M12)</f>
        <v>15128000</v>
      </c>
      <c r="L55" s="503"/>
      <c r="M55" s="388">
        <f t="shared" si="3"/>
        <v>15128000</v>
      </c>
    </row>
    <row r="56" spans="1:13" s="493" customFormat="1" ht="12.75">
      <c r="A56" s="493">
        <v>4</v>
      </c>
      <c r="B56" s="523" t="s">
        <v>84</v>
      </c>
      <c r="C56" s="1164" t="s">
        <v>1468</v>
      </c>
      <c r="D56" s="501"/>
      <c r="E56" s="502">
        <f>SUM('[8]Fiumei'!C29)</f>
        <v>86</v>
      </c>
      <c r="F56" s="503"/>
      <c r="G56" s="502"/>
      <c r="H56" s="502"/>
      <c r="I56" s="502"/>
      <c r="J56" s="504">
        <v>2550000</v>
      </c>
      <c r="K56" s="502">
        <f>SUM('[8]Fiumei segéd'!M13)</f>
        <v>12701125</v>
      </c>
      <c r="L56" s="503"/>
      <c r="M56" s="388">
        <f t="shared" si="3"/>
        <v>12701125</v>
      </c>
    </row>
    <row r="57" spans="1:13" s="493" customFormat="1" ht="12.75">
      <c r="A57" s="493">
        <v>4</v>
      </c>
      <c r="B57" s="523" t="s">
        <v>84</v>
      </c>
      <c r="C57" s="1164" t="s">
        <v>719</v>
      </c>
      <c r="D57" s="501"/>
      <c r="E57" s="502">
        <f>SUM('[8]Fiumei'!C30)</f>
        <v>77</v>
      </c>
      <c r="F57" s="503"/>
      <c r="G57" s="502"/>
      <c r="H57" s="502"/>
      <c r="I57" s="502"/>
      <c r="J57" s="504">
        <v>2550000</v>
      </c>
      <c r="K57" s="502">
        <f>SUM('[8]Fiumei segéd'!M14)</f>
        <v>8840000</v>
      </c>
      <c r="L57" s="503"/>
      <c r="M57" s="388">
        <f t="shared" si="3"/>
        <v>8840000</v>
      </c>
    </row>
    <row r="58" spans="1:13" s="493" customFormat="1" ht="12.75">
      <c r="A58" s="493">
        <v>4</v>
      </c>
      <c r="B58" s="523" t="s">
        <v>84</v>
      </c>
      <c r="C58" s="1164" t="s">
        <v>1469</v>
      </c>
      <c r="D58" s="501"/>
      <c r="E58" s="502">
        <f>SUM('[8]Fiumei'!C31)</f>
        <v>91</v>
      </c>
      <c r="F58" s="503"/>
      <c r="G58" s="502"/>
      <c r="H58" s="502"/>
      <c r="I58" s="502"/>
      <c r="J58" s="504">
        <v>2550000</v>
      </c>
      <c r="K58" s="502">
        <f>SUM('[8]Fiumei segéd'!M15)</f>
        <v>11989250</v>
      </c>
      <c r="L58" s="503"/>
      <c r="M58" s="388">
        <f t="shared" si="3"/>
        <v>11989250</v>
      </c>
    </row>
    <row r="59" spans="1:13" s="493" customFormat="1" ht="12.75">
      <c r="A59" s="493">
        <v>4</v>
      </c>
      <c r="B59" s="523" t="s">
        <v>84</v>
      </c>
      <c r="C59" s="1164" t="s">
        <v>1470</v>
      </c>
      <c r="D59" s="501"/>
      <c r="E59" s="502">
        <f>SUM('[8]Fiumei'!C32)</f>
        <v>184</v>
      </c>
      <c r="F59" s="503"/>
      <c r="G59" s="502"/>
      <c r="H59" s="502"/>
      <c r="I59" s="502"/>
      <c r="J59" s="504">
        <v>2550000</v>
      </c>
      <c r="K59" s="502">
        <f>SUM('[8]Fiumei segéd'!M16)</f>
        <v>27540000</v>
      </c>
      <c r="L59" s="503"/>
      <c r="M59" s="388">
        <f t="shared" si="3"/>
        <v>27540000</v>
      </c>
    </row>
    <row r="60" spans="1:13" s="493" customFormat="1" ht="12.75">
      <c r="A60" s="493">
        <v>4</v>
      </c>
      <c r="B60" s="523" t="s">
        <v>84</v>
      </c>
      <c r="C60" s="1164" t="s">
        <v>1471</v>
      </c>
      <c r="D60" s="504"/>
      <c r="E60" s="503"/>
      <c r="F60" s="502">
        <f>SUM('[8]Fiumei'!D34)</f>
        <v>132</v>
      </c>
      <c r="G60" s="502"/>
      <c r="H60" s="502"/>
      <c r="I60" s="502"/>
      <c r="J60" s="504">
        <v>2550000</v>
      </c>
      <c r="K60" s="503"/>
      <c r="L60" s="502">
        <f>SUM('[8]Fiumei segéd'!M32)</f>
        <v>6411428.571428571</v>
      </c>
      <c r="M60" s="388">
        <f t="shared" si="3"/>
        <v>6411428.571428571</v>
      </c>
    </row>
    <row r="61" spans="1:13" s="493" customFormat="1" ht="12.75">
      <c r="A61" s="493">
        <v>4</v>
      </c>
      <c r="B61" s="523" t="s">
        <v>84</v>
      </c>
      <c r="C61" s="1164" t="s">
        <v>1472</v>
      </c>
      <c r="D61" s="504"/>
      <c r="E61" s="503"/>
      <c r="F61" s="502">
        <f>SUM('[8]Fiumei'!D35)</f>
        <v>72</v>
      </c>
      <c r="G61" s="502"/>
      <c r="H61" s="502"/>
      <c r="I61" s="502"/>
      <c r="J61" s="504">
        <v>2550000</v>
      </c>
      <c r="K61" s="503"/>
      <c r="L61" s="502">
        <f>SUM('[8]Fiumei segéd'!M33)</f>
        <v>4392000</v>
      </c>
      <c r="M61" s="388">
        <f t="shared" si="3"/>
        <v>4392000</v>
      </c>
    </row>
    <row r="62" spans="1:13" s="493" customFormat="1" ht="12.75">
      <c r="A62" s="493">
        <v>4</v>
      </c>
      <c r="B62" s="523" t="s">
        <v>84</v>
      </c>
      <c r="C62" s="1164" t="s">
        <v>1473</v>
      </c>
      <c r="D62" s="504"/>
      <c r="E62" s="503"/>
      <c r="F62" s="502">
        <f>SUM('[8]Fiumei'!D36)</f>
        <v>52</v>
      </c>
      <c r="G62" s="502"/>
      <c r="H62" s="502"/>
      <c r="I62" s="502"/>
      <c r="J62" s="504">
        <v>2550000</v>
      </c>
      <c r="K62" s="503"/>
      <c r="L62" s="502">
        <f>SUM('[8]Fiumei segéd'!M34)</f>
        <v>3839875</v>
      </c>
      <c r="M62" s="388">
        <f t="shared" si="3"/>
        <v>3839875</v>
      </c>
    </row>
    <row r="63" spans="1:13" s="493" customFormat="1" ht="12.75">
      <c r="A63" s="493">
        <v>4</v>
      </c>
      <c r="B63" s="523" t="s">
        <v>84</v>
      </c>
      <c r="C63" s="1164" t="s">
        <v>1474</v>
      </c>
      <c r="D63" s="504"/>
      <c r="E63" s="503"/>
      <c r="F63" s="502">
        <f>SUM('[8]Fiumei'!D37)</f>
        <v>163</v>
      </c>
      <c r="G63" s="502"/>
      <c r="H63" s="502"/>
      <c r="I63" s="502"/>
      <c r="J63" s="504">
        <v>2550000</v>
      </c>
      <c r="K63" s="503"/>
      <c r="L63" s="502">
        <f>SUM('[8]Fiumei segéd'!M35)</f>
        <v>9337065.217391305</v>
      </c>
      <c r="M63" s="388">
        <f t="shared" si="3"/>
        <v>9337065.217391305</v>
      </c>
    </row>
    <row r="64" spans="1:13" s="493" customFormat="1" ht="12.75">
      <c r="A64" s="493">
        <v>4</v>
      </c>
      <c r="B64" s="523" t="s">
        <v>84</v>
      </c>
      <c r="C64" s="1164" t="s">
        <v>1476</v>
      </c>
      <c r="D64" s="504"/>
      <c r="E64" s="503">
        <v>0</v>
      </c>
      <c r="F64" s="502">
        <f>SUM('[8]Fiumei'!D38)</f>
        <v>179</v>
      </c>
      <c r="G64" s="502"/>
      <c r="H64" s="502"/>
      <c r="I64" s="502"/>
      <c r="J64" s="504">
        <v>2550000</v>
      </c>
      <c r="K64" s="503"/>
      <c r="L64" s="502">
        <f>SUM('[8]Fiumei segéd'!M36)</f>
        <v>13389200</v>
      </c>
      <c r="M64" s="388">
        <f t="shared" si="3"/>
        <v>13389200</v>
      </c>
    </row>
    <row r="65" spans="1:13" s="493" customFormat="1" ht="12.75">
      <c r="A65" s="492">
        <v>4</v>
      </c>
      <c r="B65" s="523" t="s">
        <v>84</v>
      </c>
      <c r="C65" s="1165" t="s">
        <v>721</v>
      </c>
      <c r="D65" s="505"/>
      <c r="E65" s="502">
        <f>SUM('[8]Fiumei'!C100)</f>
        <v>139</v>
      </c>
      <c r="F65" s="510"/>
      <c r="G65" s="506"/>
      <c r="H65" s="506"/>
      <c r="I65" s="508">
        <f>E65/12*8</f>
        <v>92.66666666666667</v>
      </c>
      <c r="J65" s="509">
        <v>23000</v>
      </c>
      <c r="K65" s="502">
        <f>I65*J65</f>
        <v>2131333.3333333335</v>
      </c>
      <c r="L65" s="503"/>
      <c r="M65" s="388">
        <f t="shared" si="3"/>
        <v>2131333.3333333335</v>
      </c>
    </row>
    <row r="66" spans="1:13" s="493" customFormat="1" ht="12.75">
      <c r="A66" s="492">
        <v>4</v>
      </c>
      <c r="B66" s="523" t="s">
        <v>84</v>
      </c>
      <c r="C66" s="1165" t="s">
        <v>382</v>
      </c>
      <c r="D66" s="505"/>
      <c r="E66" s="502">
        <f>SUM('[8]Fiumei'!C101)</f>
        <v>129</v>
      </c>
      <c r="F66" s="510"/>
      <c r="G66" s="502">
        <f>E66*8/12</f>
        <v>86</v>
      </c>
      <c r="H66" s="502">
        <f>F66*4/12</f>
        <v>0</v>
      </c>
      <c r="I66" s="512">
        <f>SUM(G66:H66)</f>
        <v>86</v>
      </c>
      <c r="J66" s="509">
        <v>32200</v>
      </c>
      <c r="K66" s="502">
        <f>J66*I66</f>
        <v>2769200</v>
      </c>
      <c r="L66" s="503"/>
      <c r="M66" s="388">
        <f t="shared" si="3"/>
        <v>2769200</v>
      </c>
    </row>
    <row r="67" spans="1:13" s="493" customFormat="1" ht="12.75">
      <c r="A67" s="492">
        <v>4</v>
      </c>
      <c r="B67" s="523" t="s">
        <v>84</v>
      </c>
      <c r="C67" s="1167" t="s">
        <v>1475</v>
      </c>
      <c r="D67" s="104"/>
      <c r="E67" s="503"/>
      <c r="F67" s="502">
        <f>SUM('[8]Fiumei'!D103)</f>
        <v>40</v>
      </c>
      <c r="G67" s="502"/>
      <c r="H67" s="502"/>
      <c r="I67" s="502"/>
      <c r="J67" s="504">
        <v>2550000</v>
      </c>
      <c r="K67" s="503"/>
      <c r="L67" s="502">
        <f>SUM('[8]Fiumei segéd'!M44)</f>
        <v>340000</v>
      </c>
      <c r="M67" s="388">
        <f t="shared" si="3"/>
        <v>340000</v>
      </c>
    </row>
    <row r="68" spans="1:13" s="493" customFormat="1" ht="12.75">
      <c r="A68" s="492">
        <v>4</v>
      </c>
      <c r="B68" s="523" t="s">
        <v>84</v>
      </c>
      <c r="C68" s="1167" t="s">
        <v>581</v>
      </c>
      <c r="D68" s="104"/>
      <c r="E68" s="503"/>
      <c r="F68" s="502">
        <f>SUM('[8]Fiumei'!D104)</f>
        <v>26</v>
      </c>
      <c r="G68" s="502"/>
      <c r="H68" s="502"/>
      <c r="I68" s="502"/>
      <c r="J68" s="504">
        <v>2550000</v>
      </c>
      <c r="K68" s="503"/>
      <c r="L68" s="502">
        <f>SUM('[8]Fiumei segéd'!M45)</f>
        <v>141440.00000000003</v>
      </c>
      <c r="M68" s="388">
        <f t="shared" si="3"/>
        <v>141440.00000000003</v>
      </c>
    </row>
    <row r="69" spans="1:13" s="493" customFormat="1" ht="12.75">
      <c r="A69" s="492">
        <v>4</v>
      </c>
      <c r="B69" s="523" t="s">
        <v>84</v>
      </c>
      <c r="C69" s="1167" t="s">
        <v>582</v>
      </c>
      <c r="D69" s="104"/>
      <c r="E69" s="503"/>
      <c r="F69" s="502">
        <f>SUM('[8]Fiumei'!D105)</f>
        <v>132</v>
      </c>
      <c r="G69" s="502"/>
      <c r="H69" s="502"/>
      <c r="I69" s="502"/>
      <c r="J69" s="504">
        <v>2550000</v>
      </c>
      <c r="K69" s="503"/>
      <c r="L69" s="502">
        <f>SUM('[8]Fiumei segéd'!M46)</f>
        <v>1442571.4285714289</v>
      </c>
      <c r="M69" s="388">
        <f t="shared" si="3"/>
        <v>1442571.4285714289</v>
      </c>
    </row>
    <row r="70" spans="1:13" s="493" customFormat="1" ht="51.75" customHeight="1">
      <c r="A70" s="492">
        <v>4</v>
      </c>
      <c r="B70" s="523" t="s">
        <v>84</v>
      </c>
      <c r="C70" s="1165" t="s">
        <v>585</v>
      </c>
      <c r="D70" s="509"/>
      <c r="E70" s="506">
        <f>SUM('[8]Fiumei'!C134)</f>
        <v>1</v>
      </c>
      <c r="F70" s="506">
        <f>SUM('[8]Fiumei'!D138)</f>
        <v>1</v>
      </c>
      <c r="G70" s="507">
        <f>E70*8/12</f>
        <v>0.6666666666666666</v>
      </c>
      <c r="H70" s="507">
        <f>F70*4/12</f>
        <v>0.3333333333333333</v>
      </c>
      <c r="I70" s="508">
        <f>SUM(G70:H70)</f>
        <v>1</v>
      </c>
      <c r="J70" s="509">
        <v>240000</v>
      </c>
      <c r="K70" s="502">
        <f>G70*J70</f>
        <v>160000</v>
      </c>
      <c r="L70" s="502">
        <f>H70*J70</f>
        <v>80000</v>
      </c>
      <c r="M70" s="388">
        <f t="shared" si="3"/>
        <v>240000</v>
      </c>
    </row>
    <row r="71" spans="1:13" s="493" customFormat="1" ht="51">
      <c r="A71" s="492">
        <v>4</v>
      </c>
      <c r="B71" s="523" t="s">
        <v>84</v>
      </c>
      <c r="C71" s="1165" t="s">
        <v>341</v>
      </c>
      <c r="D71" s="505"/>
      <c r="E71" s="506">
        <f>SUM('[8]Fiumei'!C146)</f>
        <v>2</v>
      </c>
      <c r="F71" s="502">
        <f>SUM('[8]Fiumei'!D153)</f>
        <v>2</v>
      </c>
      <c r="G71" s="507">
        <f>E71*8/12</f>
        <v>1.3333333333333333</v>
      </c>
      <c r="H71" s="507">
        <f>F71*4/12</f>
        <v>0.6666666666666666</v>
      </c>
      <c r="I71" s="508">
        <f>SUM(G71:H71)</f>
        <v>2</v>
      </c>
      <c r="J71" s="509">
        <v>384000</v>
      </c>
      <c r="K71" s="502">
        <f>G71*J71</f>
        <v>512000</v>
      </c>
      <c r="L71" s="502">
        <f>H71*J71</f>
        <v>256000</v>
      </c>
      <c r="M71" s="388">
        <f t="shared" si="3"/>
        <v>768000</v>
      </c>
    </row>
    <row r="72" spans="1:13" s="493" customFormat="1" ht="51">
      <c r="A72" s="492">
        <v>4</v>
      </c>
      <c r="B72" s="523" t="s">
        <v>84</v>
      </c>
      <c r="C72" s="1165" t="s">
        <v>716</v>
      </c>
      <c r="D72" s="509"/>
      <c r="E72" s="506">
        <f>SUM('[8]Fiumei'!C159)</f>
        <v>55</v>
      </c>
      <c r="F72" s="503"/>
      <c r="G72" s="507">
        <f>E72*8/12</f>
        <v>36.666666666666664</v>
      </c>
      <c r="H72" s="511"/>
      <c r="I72" s="508">
        <f>SUM(G72:H72)</f>
        <v>36.666666666666664</v>
      </c>
      <c r="J72" s="509">
        <v>192000</v>
      </c>
      <c r="K72" s="502">
        <f>G72*J72</f>
        <v>7040000</v>
      </c>
      <c r="L72" s="503"/>
      <c r="M72" s="388">
        <f t="shared" si="3"/>
        <v>7040000</v>
      </c>
    </row>
    <row r="73" spans="1:13" s="493" customFormat="1" ht="46.5" customHeight="1">
      <c r="A73" s="492">
        <v>4</v>
      </c>
      <c r="B73" s="523" t="s">
        <v>84</v>
      </c>
      <c r="C73" s="1165" t="s">
        <v>1336</v>
      </c>
      <c r="D73" s="505"/>
      <c r="E73" s="510"/>
      <c r="F73" s="506">
        <f>SUM('[8]Fiumei'!D165)</f>
        <v>6</v>
      </c>
      <c r="G73" s="506"/>
      <c r="H73" s="507">
        <f>F73*4/12</f>
        <v>2</v>
      </c>
      <c r="I73" s="508">
        <f>SUM(G73:H73)</f>
        <v>2</v>
      </c>
      <c r="J73" s="509">
        <v>192000</v>
      </c>
      <c r="K73" s="510"/>
      <c r="L73" s="502">
        <f>H73*J73</f>
        <v>384000</v>
      </c>
      <c r="M73" s="388">
        <f t="shared" si="3"/>
        <v>384000</v>
      </c>
    </row>
    <row r="74" spans="1:13" s="493" customFormat="1" ht="38.25">
      <c r="A74" s="492">
        <v>4</v>
      </c>
      <c r="B74" s="523" t="s">
        <v>84</v>
      </c>
      <c r="C74" s="1165" t="s">
        <v>1337</v>
      </c>
      <c r="D74" s="505"/>
      <c r="E74" s="510"/>
      <c r="F74" s="506">
        <f>SUM('[8]Fiumei'!D171)</f>
        <v>26</v>
      </c>
      <c r="G74" s="506"/>
      <c r="H74" s="507">
        <f>F74*4/12</f>
        <v>8.666666666666666</v>
      </c>
      <c r="I74" s="508">
        <f>SUM(G74:H74)</f>
        <v>8.666666666666666</v>
      </c>
      <c r="J74" s="509">
        <v>144000</v>
      </c>
      <c r="K74" s="510"/>
      <c r="L74" s="506">
        <f>I74*J74</f>
        <v>1248000</v>
      </c>
      <c r="M74" s="388">
        <f t="shared" si="3"/>
        <v>1248000</v>
      </c>
    </row>
    <row r="75" spans="1:13" s="493" customFormat="1" ht="25.5">
      <c r="A75" s="492">
        <v>4</v>
      </c>
      <c r="B75" s="523" t="s">
        <v>84</v>
      </c>
      <c r="C75" s="1165" t="s">
        <v>1508</v>
      </c>
      <c r="D75" s="505"/>
      <c r="E75" s="1273">
        <f>SUM('[8]Fiumei'!C258)</f>
        <v>141</v>
      </c>
      <c r="F75" s="1273">
        <f>SUM('[8]Fiumei'!D264)</f>
        <v>0</v>
      </c>
      <c r="G75" s="506"/>
      <c r="H75" s="506"/>
      <c r="I75" s="508">
        <f>SUM(E75:F75)</f>
        <v>141</v>
      </c>
      <c r="J75" s="509">
        <v>55000</v>
      </c>
      <c r="K75" s="502"/>
      <c r="L75" s="502"/>
      <c r="M75" s="388">
        <f>I75*J75</f>
        <v>7755000</v>
      </c>
    </row>
    <row r="76" spans="1:13" s="493" customFormat="1" ht="38.25">
      <c r="A76" s="492">
        <v>4</v>
      </c>
      <c r="B76" s="523" t="s">
        <v>84</v>
      </c>
      <c r="C76" s="1165" t="s">
        <v>586</v>
      </c>
      <c r="D76" s="505"/>
      <c r="E76" s="1274"/>
      <c r="F76" s="1273">
        <f>SUM('[8]Fiumei'!D267)</f>
        <v>14</v>
      </c>
      <c r="G76" s="525"/>
      <c r="H76" s="525"/>
      <c r="I76" s="508">
        <f>F76</f>
        <v>14</v>
      </c>
      <c r="J76" s="509">
        <v>16000</v>
      </c>
      <c r="K76" s="502"/>
      <c r="L76" s="502"/>
      <c r="M76" s="388">
        <f>I76*J76</f>
        <v>224000</v>
      </c>
    </row>
    <row r="77" spans="1:13" s="493" customFormat="1" ht="12.75">
      <c r="A77" s="492">
        <v>4</v>
      </c>
      <c r="B77" s="523" t="s">
        <v>84</v>
      </c>
      <c r="C77" s="1165" t="s">
        <v>1509</v>
      </c>
      <c r="D77" s="505"/>
      <c r="E77" s="510"/>
      <c r="F77" s="1273">
        <f>SUM('[8]Fiumei'!D269)</f>
        <v>175</v>
      </c>
      <c r="G77" s="506"/>
      <c r="H77" s="506"/>
      <c r="I77" s="508">
        <f>F77</f>
        <v>175</v>
      </c>
      <c r="J77" s="509">
        <v>10000</v>
      </c>
      <c r="K77" s="503"/>
      <c r="L77" s="502"/>
      <c r="M77" s="388">
        <f>I77*J77</f>
        <v>1750000</v>
      </c>
    </row>
    <row r="78" spans="1:13" s="493" customFormat="1" ht="12.75">
      <c r="A78" s="492">
        <v>4</v>
      </c>
      <c r="B78" s="526" t="s">
        <v>84</v>
      </c>
      <c r="C78" s="1166" t="s">
        <v>878</v>
      </c>
      <c r="D78" s="514"/>
      <c r="E78" s="527"/>
      <c r="F78" s="1272">
        <f>SUM('[8]Fiumei'!D270)</f>
        <v>598</v>
      </c>
      <c r="G78" s="515"/>
      <c r="H78" s="515"/>
      <c r="I78" s="516">
        <f>F78</f>
        <v>598</v>
      </c>
      <c r="J78" s="517">
        <v>1000</v>
      </c>
      <c r="K78" s="528"/>
      <c r="L78" s="518"/>
      <c r="M78" s="519">
        <f>I78*J78</f>
        <v>598000</v>
      </c>
    </row>
    <row r="79" spans="1:13" s="493" customFormat="1" ht="14.25">
      <c r="A79" s="492"/>
      <c r="B79" s="1425" t="s">
        <v>456</v>
      </c>
      <c r="C79" s="1426"/>
      <c r="D79" s="1426"/>
      <c r="E79" s="1426"/>
      <c r="F79" s="1426"/>
      <c r="G79" s="1426"/>
      <c r="H79" s="1426"/>
      <c r="I79" s="1427"/>
      <c r="J79" s="536"/>
      <c r="K79" s="537"/>
      <c r="L79" s="535"/>
      <c r="M79" s="521">
        <f>SUM(M54:M78)</f>
        <v>146009488.55072463</v>
      </c>
    </row>
    <row r="80" spans="1:13" s="493" customFormat="1" ht="12.75">
      <c r="A80" s="493">
        <v>5</v>
      </c>
      <c r="B80" s="522" t="s">
        <v>1352</v>
      </c>
      <c r="C80" s="1163" t="s">
        <v>1339</v>
      </c>
      <c r="D80" s="463"/>
      <c r="E80" s="497">
        <f>SUM('[8]Belvárosi'!C27)</f>
        <v>60</v>
      </c>
      <c r="F80" s="496"/>
      <c r="G80" s="497"/>
      <c r="H80" s="497"/>
      <c r="I80" s="497"/>
      <c r="J80" s="498">
        <v>2550000</v>
      </c>
      <c r="K80" s="497">
        <f>SUM('[8]Belváros segéd'!M11)</f>
        <v>5780000</v>
      </c>
      <c r="L80" s="496"/>
      <c r="M80" s="499">
        <f aca="true" t="shared" si="4" ref="M80:M96">SUM(K80:L80)</f>
        <v>5780000</v>
      </c>
    </row>
    <row r="81" spans="1:13" s="493" customFormat="1" ht="12.75">
      <c r="A81" s="493">
        <v>5</v>
      </c>
      <c r="B81" s="523" t="s">
        <v>1352</v>
      </c>
      <c r="C81" s="1164" t="s">
        <v>718</v>
      </c>
      <c r="D81" s="501"/>
      <c r="E81" s="502">
        <f>SUM('[8]Belvárosi'!C28)</f>
        <v>97</v>
      </c>
      <c r="F81" s="503"/>
      <c r="G81" s="502"/>
      <c r="H81" s="502"/>
      <c r="I81" s="502"/>
      <c r="J81" s="504">
        <v>2550000</v>
      </c>
      <c r="K81" s="502">
        <f>SUM('[8]Belváros segéd'!M12)</f>
        <v>11834000</v>
      </c>
      <c r="L81" s="503"/>
      <c r="M81" s="388">
        <f t="shared" si="4"/>
        <v>11834000</v>
      </c>
    </row>
    <row r="82" spans="1:13" s="493" customFormat="1" ht="12.75">
      <c r="A82" s="493">
        <v>5</v>
      </c>
      <c r="B82" s="523" t="s">
        <v>1352</v>
      </c>
      <c r="C82" s="1164" t="s">
        <v>1468</v>
      </c>
      <c r="D82" s="501"/>
      <c r="E82" s="502">
        <f>SUM('[8]Belvárosi'!C29)</f>
        <v>57</v>
      </c>
      <c r="F82" s="503"/>
      <c r="G82" s="502"/>
      <c r="H82" s="502"/>
      <c r="I82" s="502"/>
      <c r="J82" s="504">
        <v>2550000</v>
      </c>
      <c r="K82" s="502">
        <f>SUM('[8]Belváros segéd'!M13)</f>
        <v>8418187.499999998</v>
      </c>
      <c r="L82" s="503"/>
      <c r="M82" s="388">
        <f t="shared" si="4"/>
        <v>8418187.499999998</v>
      </c>
    </row>
    <row r="83" spans="1:13" s="493" customFormat="1" ht="12.75">
      <c r="A83" s="493">
        <v>5</v>
      </c>
      <c r="B83" s="523" t="s">
        <v>1352</v>
      </c>
      <c r="C83" s="1164" t="s">
        <v>719</v>
      </c>
      <c r="D83" s="501"/>
      <c r="E83" s="502">
        <f>SUM('[8]Belvárosi'!C30)</f>
        <v>48</v>
      </c>
      <c r="F83" s="503"/>
      <c r="G83" s="502"/>
      <c r="H83" s="502"/>
      <c r="I83" s="502"/>
      <c r="J83" s="504">
        <v>2550000</v>
      </c>
      <c r="K83" s="502">
        <f>SUM('[8]Belváros segéd'!M14)</f>
        <v>5440000</v>
      </c>
      <c r="L83" s="503"/>
      <c r="M83" s="388">
        <f t="shared" si="4"/>
        <v>5440000</v>
      </c>
    </row>
    <row r="84" spans="1:13" s="493" customFormat="1" ht="12.75">
      <c r="A84" s="493">
        <v>5</v>
      </c>
      <c r="B84" s="523" t="s">
        <v>1352</v>
      </c>
      <c r="C84" s="1164" t="s">
        <v>1469</v>
      </c>
      <c r="D84" s="501"/>
      <c r="E84" s="502">
        <f>SUM('[8]Belvárosi'!C31)</f>
        <v>56</v>
      </c>
      <c r="F84" s="503"/>
      <c r="G84" s="502"/>
      <c r="H84" s="502"/>
      <c r="I84" s="502"/>
      <c r="J84" s="504">
        <v>2550000</v>
      </c>
      <c r="K84" s="502">
        <f>SUM('[8]Belváros segéd'!M15)</f>
        <v>7378000</v>
      </c>
      <c r="L84" s="503"/>
      <c r="M84" s="388">
        <f t="shared" si="4"/>
        <v>7378000</v>
      </c>
    </row>
    <row r="85" spans="1:13" s="493" customFormat="1" ht="12.75">
      <c r="A85" s="493">
        <v>5</v>
      </c>
      <c r="B85" s="523" t="s">
        <v>1352</v>
      </c>
      <c r="C85" s="1164" t="s">
        <v>1470</v>
      </c>
      <c r="D85" s="501"/>
      <c r="E85" s="502">
        <f>SUM('[8]Belvárosi'!C32)</f>
        <v>119</v>
      </c>
      <c r="F85" s="503"/>
      <c r="G85" s="502"/>
      <c r="H85" s="502"/>
      <c r="I85" s="502"/>
      <c r="J85" s="504">
        <v>2550000</v>
      </c>
      <c r="K85" s="502">
        <f>SUM('[8]Belváros segéd'!M16)</f>
        <v>17850000</v>
      </c>
      <c r="L85" s="503"/>
      <c r="M85" s="388">
        <f t="shared" si="4"/>
        <v>17850000</v>
      </c>
    </row>
    <row r="86" spans="1:13" s="493" customFormat="1" ht="12.75">
      <c r="A86" s="493">
        <v>5</v>
      </c>
      <c r="B86" s="523" t="s">
        <v>1352</v>
      </c>
      <c r="C86" s="1164" t="s">
        <v>1471</v>
      </c>
      <c r="D86" s="504"/>
      <c r="E86" s="503"/>
      <c r="F86" s="502">
        <f>SUM('[8]Belvárosi'!D34)</f>
        <v>112</v>
      </c>
      <c r="G86" s="502"/>
      <c r="H86" s="502"/>
      <c r="I86" s="502"/>
      <c r="J86" s="504">
        <v>2550000</v>
      </c>
      <c r="K86" s="503"/>
      <c r="L86" s="502">
        <f>SUM('[8]Belváros segéd'!M32)</f>
        <v>5439999.999999999</v>
      </c>
      <c r="M86" s="388">
        <f t="shared" si="4"/>
        <v>5439999.999999999</v>
      </c>
    </row>
    <row r="87" spans="1:13" s="493" customFormat="1" ht="12.75">
      <c r="A87" s="493">
        <v>5</v>
      </c>
      <c r="B87" s="523" t="s">
        <v>1352</v>
      </c>
      <c r="C87" s="1164" t="s">
        <v>1472</v>
      </c>
      <c r="D87" s="504"/>
      <c r="E87" s="503"/>
      <c r="F87" s="502">
        <f>SUM('[8]Belvárosi'!D35)</f>
        <v>50</v>
      </c>
      <c r="G87" s="502"/>
      <c r="H87" s="502"/>
      <c r="I87" s="502"/>
      <c r="J87" s="504">
        <v>2550000</v>
      </c>
      <c r="K87" s="503"/>
      <c r="L87" s="502">
        <f>SUM('[8]Belváros segéd'!M33)</f>
        <v>3050000</v>
      </c>
      <c r="M87" s="388">
        <f t="shared" si="4"/>
        <v>3050000</v>
      </c>
    </row>
    <row r="88" spans="1:13" s="493" customFormat="1" ht="12.75">
      <c r="A88" s="493">
        <v>5</v>
      </c>
      <c r="B88" s="523" t="s">
        <v>1352</v>
      </c>
      <c r="C88" s="1164" t="s">
        <v>1473</v>
      </c>
      <c r="D88" s="504"/>
      <c r="E88" s="503"/>
      <c r="F88" s="502">
        <f>SUM('[8]Belvárosi'!D36)</f>
        <v>47</v>
      </c>
      <c r="G88" s="502"/>
      <c r="H88" s="502"/>
      <c r="I88" s="502"/>
      <c r="J88" s="504">
        <v>2550000</v>
      </c>
      <c r="K88" s="503"/>
      <c r="L88" s="502">
        <f>SUM('[8]Belváros segéd'!M34)</f>
        <v>3470656.25</v>
      </c>
      <c r="M88" s="388">
        <f t="shared" si="4"/>
        <v>3470656.25</v>
      </c>
    </row>
    <row r="89" spans="1:13" s="493" customFormat="1" ht="12.75">
      <c r="A89" s="493">
        <v>5</v>
      </c>
      <c r="B89" s="523" t="s">
        <v>1352</v>
      </c>
      <c r="C89" s="1164" t="s">
        <v>1474</v>
      </c>
      <c r="D89" s="504"/>
      <c r="E89" s="503"/>
      <c r="F89" s="502">
        <f>SUM('[8]Belvárosi'!D37)</f>
        <v>105</v>
      </c>
      <c r="G89" s="502"/>
      <c r="H89" s="502"/>
      <c r="I89" s="502"/>
      <c r="J89" s="504">
        <v>2550000</v>
      </c>
      <c r="K89" s="503"/>
      <c r="L89" s="502">
        <f>SUM('[8]Belváros segéd'!M35)</f>
        <v>6014673.913043478</v>
      </c>
      <c r="M89" s="388">
        <f t="shared" si="4"/>
        <v>6014673.913043478</v>
      </c>
    </row>
    <row r="90" spans="1:13" s="493" customFormat="1" ht="12.75">
      <c r="A90" s="493">
        <v>5</v>
      </c>
      <c r="B90" s="523" t="s">
        <v>1352</v>
      </c>
      <c r="C90" s="1164" t="s">
        <v>1476</v>
      </c>
      <c r="D90" s="504"/>
      <c r="E90" s="503"/>
      <c r="F90" s="502">
        <f>SUM('[8]Belvárosi'!D38)</f>
        <v>115</v>
      </c>
      <c r="G90" s="502"/>
      <c r="H90" s="502"/>
      <c r="I90" s="502"/>
      <c r="J90" s="504">
        <v>2550000</v>
      </c>
      <c r="K90" s="503"/>
      <c r="L90" s="502">
        <f>SUM('[8]Belváros segéd'!M36)</f>
        <v>8601999.999999998</v>
      </c>
      <c r="M90" s="388">
        <f t="shared" si="4"/>
        <v>8601999.999999998</v>
      </c>
    </row>
    <row r="91" spans="1:13" s="493" customFormat="1" ht="12.75">
      <c r="A91" s="492">
        <v>5</v>
      </c>
      <c r="B91" s="523" t="s">
        <v>1352</v>
      </c>
      <c r="C91" s="1165" t="s">
        <v>721</v>
      </c>
      <c r="D91" s="505"/>
      <c r="E91" s="502">
        <f>SUM('[8]Belvárosi'!C100)</f>
        <v>143</v>
      </c>
      <c r="F91" s="510"/>
      <c r="G91" s="506"/>
      <c r="H91" s="506"/>
      <c r="I91" s="508">
        <f>E91/12*8</f>
        <v>95.33333333333333</v>
      </c>
      <c r="J91" s="509">
        <v>23000</v>
      </c>
      <c r="K91" s="502">
        <f>I91*J91</f>
        <v>2192666.6666666665</v>
      </c>
      <c r="L91" s="503"/>
      <c r="M91" s="388">
        <f t="shared" si="4"/>
        <v>2192666.6666666665</v>
      </c>
    </row>
    <row r="92" spans="1:13" s="493" customFormat="1" ht="12.75">
      <c r="A92" s="492">
        <v>5</v>
      </c>
      <c r="B92" s="523" t="s">
        <v>1352</v>
      </c>
      <c r="C92" s="1167" t="s">
        <v>1475</v>
      </c>
      <c r="D92" s="104"/>
      <c r="E92" s="503"/>
      <c r="F92" s="502">
        <f>SUM('[8]Belvárosi'!D103)</f>
        <v>63</v>
      </c>
      <c r="G92" s="502"/>
      <c r="H92" s="502"/>
      <c r="I92" s="502"/>
      <c r="J92" s="504">
        <v>2550000</v>
      </c>
      <c r="K92" s="503"/>
      <c r="L92" s="502">
        <f>SUM('[8]Belváros segéd'!M44)</f>
        <v>510000</v>
      </c>
      <c r="M92" s="388">
        <f t="shared" si="4"/>
        <v>510000</v>
      </c>
    </row>
    <row r="93" spans="1:13" s="493" customFormat="1" ht="16.5" customHeight="1">
      <c r="A93" s="492">
        <v>5</v>
      </c>
      <c r="B93" s="523" t="s">
        <v>1352</v>
      </c>
      <c r="C93" s="1167" t="s">
        <v>581</v>
      </c>
      <c r="D93" s="104"/>
      <c r="E93" s="503"/>
      <c r="F93" s="502">
        <f>SUM('[8]Belvárosi'!D104)</f>
        <v>8</v>
      </c>
      <c r="G93" s="502"/>
      <c r="H93" s="502"/>
      <c r="I93" s="502"/>
      <c r="J93" s="504">
        <v>2550000</v>
      </c>
      <c r="K93" s="503"/>
      <c r="L93" s="502">
        <f>SUM('[8]Belváros segéd'!M45)</f>
        <v>43520</v>
      </c>
      <c r="M93" s="388">
        <f t="shared" si="4"/>
        <v>43520</v>
      </c>
    </row>
    <row r="94" spans="1:13" s="493" customFormat="1" ht="51">
      <c r="A94" s="492">
        <v>5</v>
      </c>
      <c r="B94" s="523" t="s">
        <v>1352</v>
      </c>
      <c r="C94" s="1165" t="s">
        <v>716</v>
      </c>
      <c r="D94" s="509"/>
      <c r="E94" s="506">
        <f>SUM('[8]Belvárosi'!C159)</f>
        <v>27</v>
      </c>
      <c r="F94" s="503"/>
      <c r="G94" s="507">
        <f>E94*8/12</f>
        <v>18</v>
      </c>
      <c r="H94" s="511"/>
      <c r="I94" s="508">
        <f>SUM(G94:H94)</f>
        <v>18</v>
      </c>
      <c r="J94" s="509">
        <v>192000</v>
      </c>
      <c r="K94" s="502">
        <f>G94*J94</f>
        <v>3456000</v>
      </c>
      <c r="L94" s="503"/>
      <c r="M94" s="388">
        <f t="shared" si="4"/>
        <v>3456000</v>
      </c>
    </row>
    <row r="95" spans="1:13" s="493" customFormat="1" ht="39" customHeight="1">
      <c r="A95" s="492">
        <v>5</v>
      </c>
      <c r="B95" s="523" t="s">
        <v>1352</v>
      </c>
      <c r="C95" s="1165" t="s">
        <v>1336</v>
      </c>
      <c r="D95" s="505"/>
      <c r="E95" s="510"/>
      <c r="F95" s="506">
        <f>SUM('[8]Belvárosi'!D165)</f>
        <v>13</v>
      </c>
      <c r="G95" s="506"/>
      <c r="H95" s="507">
        <f>F95*4/12</f>
        <v>4.333333333333333</v>
      </c>
      <c r="I95" s="508">
        <f>SUM(G95:H95)</f>
        <v>4.333333333333333</v>
      </c>
      <c r="J95" s="509">
        <v>192000</v>
      </c>
      <c r="K95" s="510"/>
      <c r="L95" s="502">
        <f>H95*J95</f>
        <v>832000</v>
      </c>
      <c r="M95" s="388">
        <f t="shared" si="4"/>
        <v>832000</v>
      </c>
    </row>
    <row r="96" spans="1:13" s="493" customFormat="1" ht="38.25">
      <c r="A96" s="492">
        <v>5</v>
      </c>
      <c r="B96" s="523" t="s">
        <v>1352</v>
      </c>
      <c r="C96" s="1165" t="s">
        <v>1337</v>
      </c>
      <c r="D96" s="505"/>
      <c r="E96" s="510"/>
      <c r="F96" s="506">
        <f>SUM('[8]Belvárosi'!D171)</f>
        <v>6</v>
      </c>
      <c r="G96" s="506"/>
      <c r="H96" s="507">
        <f>F96*4/12</f>
        <v>2</v>
      </c>
      <c r="I96" s="508">
        <f>SUM(G96:H96)</f>
        <v>2</v>
      </c>
      <c r="J96" s="509">
        <v>144000</v>
      </c>
      <c r="K96" s="510"/>
      <c r="L96" s="506">
        <f>I96*J96</f>
        <v>288000</v>
      </c>
      <c r="M96" s="388">
        <f t="shared" si="4"/>
        <v>288000</v>
      </c>
    </row>
    <row r="97" spans="1:13" s="493" customFormat="1" ht="25.5">
      <c r="A97" s="492">
        <v>5</v>
      </c>
      <c r="B97" s="523" t="s">
        <v>1352</v>
      </c>
      <c r="C97" s="1165" t="s">
        <v>1508</v>
      </c>
      <c r="D97" s="505"/>
      <c r="E97" s="1273">
        <f>SUM('[8]Belvárosi'!C258)</f>
        <v>82.39</v>
      </c>
      <c r="F97" s="1273">
        <f>SUM('[8]Belvárosi'!D264)</f>
        <v>0</v>
      </c>
      <c r="G97" s="506"/>
      <c r="H97" s="506"/>
      <c r="I97" s="508">
        <f>SUM(E97:F97)</f>
        <v>82.39</v>
      </c>
      <c r="J97" s="509">
        <v>55000</v>
      </c>
      <c r="K97" s="502"/>
      <c r="L97" s="502"/>
      <c r="M97" s="388">
        <f>I97*J97</f>
        <v>4531450</v>
      </c>
    </row>
    <row r="98" spans="1:13" s="493" customFormat="1" ht="38.25">
      <c r="A98" s="492">
        <v>5</v>
      </c>
      <c r="B98" s="523" t="s">
        <v>1352</v>
      </c>
      <c r="C98" s="1165" t="s">
        <v>586</v>
      </c>
      <c r="D98" s="505"/>
      <c r="E98" s="1274"/>
      <c r="F98" s="1273">
        <f>SUM('[8]Belvárosi'!D267)</f>
        <v>6</v>
      </c>
      <c r="G98" s="525"/>
      <c r="H98" s="525"/>
      <c r="I98" s="508">
        <f>F98</f>
        <v>6</v>
      </c>
      <c r="J98" s="509">
        <v>16000</v>
      </c>
      <c r="K98" s="502"/>
      <c r="L98" s="502"/>
      <c r="M98" s="388">
        <f>I98*J98</f>
        <v>96000</v>
      </c>
    </row>
    <row r="99" spans="1:13" s="493" customFormat="1" ht="12.75">
      <c r="A99" s="492">
        <v>5</v>
      </c>
      <c r="B99" s="523" t="s">
        <v>1352</v>
      </c>
      <c r="C99" s="1165" t="s">
        <v>1509</v>
      </c>
      <c r="D99" s="505"/>
      <c r="E99" s="1285"/>
      <c r="F99" s="1273">
        <f>SUM('[8]Belvárosi'!D269)</f>
        <v>112</v>
      </c>
      <c r="G99" s="506"/>
      <c r="H99" s="506"/>
      <c r="I99" s="508">
        <f>F99</f>
        <v>112</v>
      </c>
      <c r="J99" s="509">
        <v>10000</v>
      </c>
      <c r="K99" s="503"/>
      <c r="L99" s="502"/>
      <c r="M99" s="388">
        <f>I99*J99</f>
        <v>1120000</v>
      </c>
    </row>
    <row r="100" spans="1:13" s="493" customFormat="1" ht="12.75">
      <c r="A100" s="492">
        <v>5</v>
      </c>
      <c r="B100" s="526" t="s">
        <v>1352</v>
      </c>
      <c r="C100" s="1166" t="s">
        <v>878</v>
      </c>
      <c r="D100" s="514"/>
      <c r="E100" s="1286"/>
      <c r="F100" s="1272">
        <f>SUM('[8]Belvárosi'!D270)</f>
        <v>429</v>
      </c>
      <c r="G100" s="515"/>
      <c r="H100" s="515"/>
      <c r="I100" s="516">
        <f>F100</f>
        <v>429</v>
      </c>
      <c r="J100" s="517">
        <v>1000</v>
      </c>
      <c r="K100" s="528"/>
      <c r="L100" s="518"/>
      <c r="M100" s="519">
        <f>I100*J100</f>
        <v>429000</v>
      </c>
    </row>
    <row r="101" spans="1:13" s="493" customFormat="1" ht="14.25">
      <c r="A101" s="492"/>
      <c r="B101" s="1425" t="s">
        <v>879</v>
      </c>
      <c r="C101" s="1426"/>
      <c r="D101" s="1426"/>
      <c r="E101" s="1426"/>
      <c r="F101" s="1426"/>
      <c r="G101" s="1426"/>
      <c r="H101" s="1426"/>
      <c r="I101" s="1427"/>
      <c r="J101" s="466"/>
      <c r="K101" s="529"/>
      <c r="L101" s="530"/>
      <c r="M101" s="521">
        <f>SUM(M80:M100)</f>
        <v>96776154.32971016</v>
      </c>
    </row>
    <row r="102" spans="1:13" s="493" customFormat="1" ht="12.75">
      <c r="A102" s="493">
        <v>6</v>
      </c>
      <c r="B102" s="522" t="s">
        <v>1353</v>
      </c>
      <c r="C102" s="1163" t="s">
        <v>1339</v>
      </c>
      <c r="D102" s="463"/>
      <c r="E102" s="497">
        <f>SUM('[8]Kassai'!C27)</f>
        <v>62</v>
      </c>
      <c r="F102" s="496"/>
      <c r="G102" s="497"/>
      <c r="H102" s="497"/>
      <c r="I102" s="497"/>
      <c r="J102" s="498">
        <v>2550000</v>
      </c>
      <c r="K102" s="497">
        <f>SUM('[8]Kassai segéd'!M11)</f>
        <v>5950000</v>
      </c>
      <c r="L102" s="496"/>
      <c r="M102" s="499">
        <f aca="true" t="shared" si="5" ref="M102:M120">SUM(K102:L102)</f>
        <v>5950000</v>
      </c>
    </row>
    <row r="103" spans="1:13" s="493" customFormat="1" ht="12.75">
      <c r="A103" s="493">
        <v>6</v>
      </c>
      <c r="B103" s="523" t="s">
        <v>1353</v>
      </c>
      <c r="C103" s="1164" t="s">
        <v>718</v>
      </c>
      <c r="D103" s="501"/>
      <c r="E103" s="502">
        <f>SUM('[8]Kassai'!C28)</f>
        <v>111</v>
      </c>
      <c r="F103" s="503"/>
      <c r="G103" s="502"/>
      <c r="H103" s="502"/>
      <c r="I103" s="502"/>
      <c r="J103" s="504">
        <v>2550000</v>
      </c>
      <c r="K103" s="502">
        <f>SUM('[8]Kassai segéd'!M12)</f>
        <v>13542000</v>
      </c>
      <c r="L103" s="503"/>
      <c r="M103" s="388">
        <f t="shared" si="5"/>
        <v>13542000</v>
      </c>
    </row>
    <row r="104" spans="1:13" s="493" customFormat="1" ht="12.75">
      <c r="A104" s="493">
        <v>6</v>
      </c>
      <c r="B104" s="523" t="s">
        <v>1353</v>
      </c>
      <c r="C104" s="1164" t="s">
        <v>1468</v>
      </c>
      <c r="D104" s="501"/>
      <c r="E104" s="502">
        <f>SUM('[8]Kassai'!C29)</f>
        <v>71</v>
      </c>
      <c r="F104" s="503"/>
      <c r="G104" s="502"/>
      <c r="H104" s="502"/>
      <c r="I104" s="502"/>
      <c r="J104" s="504">
        <v>2550000</v>
      </c>
      <c r="K104" s="502">
        <f>SUM('[8]Kassai segéd'!M13)</f>
        <v>10485812.5</v>
      </c>
      <c r="L104" s="503"/>
      <c r="M104" s="388">
        <f t="shared" si="5"/>
        <v>10485812.5</v>
      </c>
    </row>
    <row r="105" spans="1:13" s="493" customFormat="1" ht="12.75">
      <c r="A105" s="493">
        <v>6</v>
      </c>
      <c r="B105" s="523" t="s">
        <v>1353</v>
      </c>
      <c r="C105" s="1164" t="s">
        <v>719</v>
      </c>
      <c r="D105" s="501"/>
      <c r="E105" s="502">
        <f>SUM('[8]Kassai'!C30)</f>
        <v>53</v>
      </c>
      <c r="F105" s="503"/>
      <c r="G105" s="502"/>
      <c r="H105" s="502"/>
      <c r="I105" s="502"/>
      <c r="J105" s="504">
        <v>2550000</v>
      </c>
      <c r="K105" s="502">
        <f>SUM('[8]Kassai segéd'!M14)</f>
        <v>6120000</v>
      </c>
      <c r="L105" s="503"/>
      <c r="M105" s="388">
        <f t="shared" si="5"/>
        <v>6120000</v>
      </c>
    </row>
    <row r="106" spans="1:13" s="493" customFormat="1" ht="12.75">
      <c r="A106" s="493">
        <v>6</v>
      </c>
      <c r="B106" s="523" t="s">
        <v>1353</v>
      </c>
      <c r="C106" s="1164" t="s">
        <v>1469</v>
      </c>
      <c r="D106" s="501"/>
      <c r="E106" s="502">
        <f>SUM('[8]Kassai'!C31)</f>
        <v>70</v>
      </c>
      <c r="F106" s="503"/>
      <c r="G106" s="502"/>
      <c r="H106" s="502"/>
      <c r="I106" s="502"/>
      <c r="J106" s="504">
        <v>2550000</v>
      </c>
      <c r="K106" s="502">
        <f>SUM('[8]Kassai segéd'!M15)</f>
        <v>9222500</v>
      </c>
      <c r="L106" s="503"/>
      <c r="M106" s="388">
        <f t="shared" si="5"/>
        <v>9222500</v>
      </c>
    </row>
    <row r="107" spans="1:13" s="493" customFormat="1" ht="12.75">
      <c r="A107" s="493">
        <v>6</v>
      </c>
      <c r="B107" s="523" t="s">
        <v>1353</v>
      </c>
      <c r="C107" s="1164" t="s">
        <v>1470</v>
      </c>
      <c r="D107" s="501"/>
      <c r="E107" s="502">
        <f>SUM('[8]Kassai'!C32)</f>
        <v>126</v>
      </c>
      <c r="F107" s="503"/>
      <c r="G107" s="502"/>
      <c r="H107" s="502"/>
      <c r="I107" s="502"/>
      <c r="J107" s="504">
        <v>2550000</v>
      </c>
      <c r="K107" s="502">
        <f>SUM('[8]Kassai segéd'!M16)</f>
        <v>18870000</v>
      </c>
      <c r="L107" s="503"/>
      <c r="M107" s="388">
        <f t="shared" si="5"/>
        <v>18870000</v>
      </c>
    </row>
    <row r="108" spans="1:13" s="493" customFormat="1" ht="12.75">
      <c r="A108" s="493">
        <v>6</v>
      </c>
      <c r="B108" s="523" t="s">
        <v>1353</v>
      </c>
      <c r="C108" s="1164" t="s">
        <v>1471</v>
      </c>
      <c r="D108" s="504"/>
      <c r="E108" s="503"/>
      <c r="F108" s="502">
        <f>SUM('[8]Kassai'!D34)</f>
        <v>115</v>
      </c>
      <c r="G108" s="502"/>
      <c r="H108" s="502"/>
      <c r="I108" s="502"/>
      <c r="J108" s="504">
        <v>2550000</v>
      </c>
      <c r="K108" s="503"/>
      <c r="L108" s="502">
        <f>SUM('[8]Kassai segéd'!M32)</f>
        <v>5585714.285714285</v>
      </c>
      <c r="M108" s="388">
        <f t="shared" si="5"/>
        <v>5585714.285714285</v>
      </c>
    </row>
    <row r="109" spans="1:13" s="493" customFormat="1" ht="12.75">
      <c r="A109" s="493">
        <v>6</v>
      </c>
      <c r="B109" s="523" t="s">
        <v>1353</v>
      </c>
      <c r="C109" s="1164" t="s">
        <v>1472</v>
      </c>
      <c r="D109" s="504"/>
      <c r="E109" s="503"/>
      <c r="F109" s="502">
        <f>SUM('[8]Kassai'!D35)</f>
        <v>56</v>
      </c>
      <c r="G109" s="502"/>
      <c r="H109" s="502"/>
      <c r="I109" s="502"/>
      <c r="J109" s="504">
        <v>2550000</v>
      </c>
      <c r="K109" s="503"/>
      <c r="L109" s="502">
        <f>SUM('[8]Kassai segéd'!M33)</f>
        <v>3416000</v>
      </c>
      <c r="M109" s="388">
        <f t="shared" si="5"/>
        <v>3416000</v>
      </c>
    </row>
    <row r="110" spans="1:13" s="493" customFormat="1" ht="12.75">
      <c r="A110" s="493">
        <v>6</v>
      </c>
      <c r="B110" s="523" t="s">
        <v>1353</v>
      </c>
      <c r="C110" s="1164" t="s">
        <v>1473</v>
      </c>
      <c r="D110" s="504"/>
      <c r="E110" s="503"/>
      <c r="F110" s="502">
        <f>SUM('[8]Kassai'!D36)</f>
        <v>54</v>
      </c>
      <c r="G110" s="502"/>
      <c r="H110" s="502"/>
      <c r="I110" s="502"/>
      <c r="J110" s="504">
        <v>2550000</v>
      </c>
      <c r="K110" s="503"/>
      <c r="L110" s="502">
        <f>SUM('[8]Kassai segéd'!M34)</f>
        <v>3987562.4999999995</v>
      </c>
      <c r="M110" s="388">
        <f t="shared" si="5"/>
        <v>3987562.4999999995</v>
      </c>
    </row>
    <row r="111" spans="1:13" s="493" customFormat="1" ht="12.75">
      <c r="A111" s="493">
        <v>6</v>
      </c>
      <c r="B111" s="523" t="s">
        <v>1353</v>
      </c>
      <c r="C111" s="1164" t="s">
        <v>1474</v>
      </c>
      <c r="D111" s="504"/>
      <c r="E111" s="503"/>
      <c r="F111" s="502">
        <f>SUM('[8]Kassai'!D37)</f>
        <v>124</v>
      </c>
      <c r="G111" s="502"/>
      <c r="H111" s="502"/>
      <c r="I111" s="502"/>
      <c r="J111" s="504">
        <v>2550000</v>
      </c>
      <c r="K111" s="503"/>
      <c r="L111" s="502">
        <f>SUM('[8]Kassai segéd'!M35)</f>
        <v>7103043.478260871</v>
      </c>
      <c r="M111" s="388">
        <f t="shared" si="5"/>
        <v>7103043.478260871</v>
      </c>
    </row>
    <row r="112" spans="1:13" s="493" customFormat="1" ht="12.75">
      <c r="A112" s="493">
        <v>6</v>
      </c>
      <c r="B112" s="523" t="s">
        <v>1353</v>
      </c>
      <c r="C112" s="1164" t="s">
        <v>1476</v>
      </c>
      <c r="D112" s="504"/>
      <c r="E112" s="503"/>
      <c r="F112" s="502">
        <f>SUM('[8]Kassai'!D38)</f>
        <v>135</v>
      </c>
      <c r="G112" s="502"/>
      <c r="H112" s="502"/>
      <c r="I112" s="502"/>
      <c r="J112" s="504">
        <v>2550000</v>
      </c>
      <c r="K112" s="503"/>
      <c r="L112" s="502">
        <f>SUM('[8]Kassai segéd'!M36)</f>
        <v>10098000.000000002</v>
      </c>
      <c r="M112" s="388">
        <f t="shared" si="5"/>
        <v>10098000.000000002</v>
      </c>
    </row>
    <row r="113" spans="1:13" s="493" customFormat="1" ht="12.75">
      <c r="A113" s="492">
        <v>6</v>
      </c>
      <c r="B113" s="523" t="s">
        <v>1353</v>
      </c>
      <c r="C113" s="1165" t="s">
        <v>721</v>
      </c>
      <c r="D113" s="505"/>
      <c r="E113" s="502">
        <f>SUM('[8]Kassai'!C100)</f>
        <v>68</v>
      </c>
      <c r="F113" s="510"/>
      <c r="G113" s="506"/>
      <c r="H113" s="506"/>
      <c r="I113" s="508">
        <f>E113/12*8</f>
        <v>45.333333333333336</v>
      </c>
      <c r="J113" s="509">
        <v>23000</v>
      </c>
      <c r="K113" s="502">
        <f>I113*J113</f>
        <v>1042666.6666666667</v>
      </c>
      <c r="L113" s="503"/>
      <c r="M113" s="388">
        <f t="shared" si="5"/>
        <v>1042666.6666666667</v>
      </c>
    </row>
    <row r="114" spans="1:13" s="493" customFormat="1" ht="12.75">
      <c r="A114" s="492">
        <v>6</v>
      </c>
      <c r="B114" s="523" t="s">
        <v>1353</v>
      </c>
      <c r="C114" s="1165" t="s">
        <v>382</v>
      </c>
      <c r="D114" s="505"/>
      <c r="E114" s="502">
        <f>SUM('[8]Kassai'!C101)</f>
        <v>118</v>
      </c>
      <c r="F114" s="510"/>
      <c r="G114" s="502">
        <f>E114*8/12</f>
        <v>78.66666666666667</v>
      </c>
      <c r="H114" s="502">
        <f>F114*4/12</f>
        <v>0</v>
      </c>
      <c r="I114" s="512">
        <f>SUM(G114:H114)</f>
        <v>78.66666666666667</v>
      </c>
      <c r="J114" s="509">
        <v>32200</v>
      </c>
      <c r="K114" s="502">
        <f>J114*I114</f>
        <v>2533066.666666667</v>
      </c>
      <c r="L114" s="503"/>
      <c r="M114" s="388">
        <f t="shared" si="5"/>
        <v>2533066.666666667</v>
      </c>
    </row>
    <row r="115" spans="1:13" s="493" customFormat="1" ht="12.75">
      <c r="A115" s="492">
        <v>6</v>
      </c>
      <c r="B115" s="523" t="s">
        <v>1353</v>
      </c>
      <c r="C115" s="1167" t="s">
        <v>1475</v>
      </c>
      <c r="D115" s="104"/>
      <c r="E115" s="503"/>
      <c r="F115" s="502">
        <f>SUM('[8]Kassai'!D103)</f>
        <v>25</v>
      </c>
      <c r="G115" s="502"/>
      <c r="H115" s="502"/>
      <c r="I115" s="502"/>
      <c r="J115" s="504">
        <v>2550000</v>
      </c>
      <c r="K115" s="503"/>
      <c r="L115" s="502">
        <f>SUM('[8]Kassai segéd'!M44)</f>
        <v>170000</v>
      </c>
      <c r="M115" s="388">
        <f t="shared" si="5"/>
        <v>170000</v>
      </c>
    </row>
    <row r="116" spans="1:13" s="493" customFormat="1" ht="12.75">
      <c r="A116" s="492">
        <v>6</v>
      </c>
      <c r="B116" s="523" t="s">
        <v>1353</v>
      </c>
      <c r="C116" s="1167" t="s">
        <v>581</v>
      </c>
      <c r="D116" s="104"/>
      <c r="E116" s="503"/>
      <c r="F116" s="502">
        <f>SUM('[8]Kassai'!D104)</f>
        <v>9</v>
      </c>
      <c r="G116" s="502"/>
      <c r="H116" s="502"/>
      <c r="I116" s="502"/>
      <c r="J116" s="504">
        <v>2550000</v>
      </c>
      <c r="K116" s="503"/>
      <c r="L116" s="502">
        <f>SUM('[8]Kassai segéd'!M45)</f>
        <v>48960</v>
      </c>
      <c r="M116" s="388">
        <f t="shared" si="5"/>
        <v>48960</v>
      </c>
    </row>
    <row r="117" spans="1:13" s="493" customFormat="1" ht="12.75">
      <c r="A117" s="492">
        <v>6</v>
      </c>
      <c r="B117" s="523" t="s">
        <v>1353</v>
      </c>
      <c r="C117" s="1167" t="s">
        <v>582</v>
      </c>
      <c r="D117" s="104"/>
      <c r="E117" s="503"/>
      <c r="F117" s="502">
        <f>SUM('[8]Kassai'!D105)</f>
        <v>114</v>
      </c>
      <c r="G117" s="502"/>
      <c r="H117" s="502"/>
      <c r="I117" s="502"/>
      <c r="J117" s="504">
        <v>2550000</v>
      </c>
      <c r="K117" s="503"/>
      <c r="L117" s="502">
        <f>SUM('[8]Kassai segéd'!M46)</f>
        <v>1245857.142857143</v>
      </c>
      <c r="M117" s="388">
        <f t="shared" si="5"/>
        <v>1245857.142857143</v>
      </c>
    </row>
    <row r="118" spans="1:13" s="493" customFormat="1" ht="52.5" customHeight="1">
      <c r="A118" s="492">
        <v>6</v>
      </c>
      <c r="B118" s="523" t="s">
        <v>1353</v>
      </c>
      <c r="C118" s="1165" t="s">
        <v>585</v>
      </c>
      <c r="D118" s="509"/>
      <c r="E118" s="506">
        <f>SUM('[8]Kassai'!C134)</f>
        <v>1</v>
      </c>
      <c r="F118" s="506">
        <f>SUM('[8]Kassai'!D138)</f>
        <v>1</v>
      </c>
      <c r="G118" s="507">
        <f>E118*8/12</f>
        <v>0.6666666666666666</v>
      </c>
      <c r="H118" s="507">
        <f>F118*4/12</f>
        <v>0.3333333333333333</v>
      </c>
      <c r="I118" s="508">
        <f>SUM(G118:H118)</f>
        <v>1</v>
      </c>
      <c r="J118" s="509">
        <v>240000</v>
      </c>
      <c r="K118" s="502">
        <f>G118*J118</f>
        <v>160000</v>
      </c>
      <c r="L118" s="502">
        <f>H118*J118</f>
        <v>80000</v>
      </c>
      <c r="M118" s="388">
        <f t="shared" si="5"/>
        <v>240000</v>
      </c>
    </row>
    <row r="119" spans="1:13" s="493" customFormat="1" ht="51">
      <c r="A119" s="492">
        <v>6</v>
      </c>
      <c r="B119" s="523" t="s">
        <v>1353</v>
      </c>
      <c r="C119" s="1165" t="s">
        <v>716</v>
      </c>
      <c r="D119" s="509"/>
      <c r="E119" s="506">
        <f>SUM('[8]Kassai'!C159)</f>
        <v>14</v>
      </c>
      <c r="F119" s="503"/>
      <c r="G119" s="507">
        <f>E119*8/12</f>
        <v>9.333333333333334</v>
      </c>
      <c r="H119" s="511"/>
      <c r="I119" s="508">
        <f>SUM(G119:H119)</f>
        <v>9.333333333333334</v>
      </c>
      <c r="J119" s="509">
        <v>192000</v>
      </c>
      <c r="K119" s="502">
        <f>G119*J119</f>
        <v>1792000</v>
      </c>
      <c r="L119" s="503"/>
      <c r="M119" s="388">
        <f t="shared" si="5"/>
        <v>1792000</v>
      </c>
    </row>
    <row r="120" spans="1:13" s="493" customFormat="1" ht="38.25">
      <c r="A120" s="492">
        <v>6</v>
      </c>
      <c r="B120" s="523" t="s">
        <v>1353</v>
      </c>
      <c r="C120" s="1165" t="s">
        <v>1337</v>
      </c>
      <c r="D120" s="505"/>
      <c r="E120" s="510"/>
      <c r="F120" s="506">
        <f>SUM('[8]Kassai'!D171)</f>
        <v>15</v>
      </c>
      <c r="G120" s="506"/>
      <c r="H120" s="507">
        <f>F120*4/12</f>
        <v>5</v>
      </c>
      <c r="I120" s="508">
        <f>SUM(G120:H120)</f>
        <v>5</v>
      </c>
      <c r="J120" s="509">
        <v>144000</v>
      </c>
      <c r="K120" s="510"/>
      <c r="L120" s="506">
        <f>I120*J120</f>
        <v>720000</v>
      </c>
      <c r="M120" s="388">
        <f t="shared" si="5"/>
        <v>720000</v>
      </c>
    </row>
    <row r="121" spans="1:13" s="493" customFormat="1" ht="25.5">
      <c r="A121" s="492">
        <v>6</v>
      </c>
      <c r="B121" s="523" t="s">
        <v>1353</v>
      </c>
      <c r="C121" s="1165" t="s">
        <v>1508</v>
      </c>
      <c r="D121" s="505"/>
      <c r="E121" s="1273">
        <f>SUM('[8]Kassai'!C258)</f>
        <v>101</v>
      </c>
      <c r="F121" s="506">
        <f>SUM('[8]Kassai'!D264)</f>
        <v>0</v>
      </c>
      <c r="G121" s="506"/>
      <c r="H121" s="506"/>
      <c r="I121" s="508">
        <f>SUM(E121:F121)</f>
        <v>101</v>
      </c>
      <c r="J121" s="509">
        <v>55000</v>
      </c>
      <c r="K121" s="502"/>
      <c r="L121" s="502"/>
      <c r="M121" s="388">
        <f>I121*J121</f>
        <v>5555000</v>
      </c>
    </row>
    <row r="122" spans="1:13" s="493" customFormat="1" ht="38.25">
      <c r="A122" s="492">
        <v>6</v>
      </c>
      <c r="B122" s="523" t="s">
        <v>1353</v>
      </c>
      <c r="C122" s="1165" t="s">
        <v>586</v>
      </c>
      <c r="D122" s="505"/>
      <c r="E122" s="525"/>
      <c r="F122" s="1273">
        <f>SUM('[8]Kassai'!D267)</f>
        <v>3</v>
      </c>
      <c r="G122" s="525"/>
      <c r="H122" s="525"/>
      <c r="I122" s="508">
        <f>F122</f>
        <v>3</v>
      </c>
      <c r="J122" s="509">
        <v>16000</v>
      </c>
      <c r="K122" s="502"/>
      <c r="L122" s="502"/>
      <c r="M122" s="388">
        <f>I122*J122</f>
        <v>48000</v>
      </c>
    </row>
    <row r="123" spans="1:13" s="493" customFormat="1" ht="12.75">
      <c r="A123" s="492">
        <v>6</v>
      </c>
      <c r="B123" s="523" t="s">
        <v>1353</v>
      </c>
      <c r="C123" s="1165" t="s">
        <v>1509</v>
      </c>
      <c r="D123" s="505"/>
      <c r="E123" s="510"/>
      <c r="F123" s="1273">
        <f>SUM('[8]Kassai'!D269)</f>
        <v>120</v>
      </c>
      <c r="G123" s="506"/>
      <c r="H123" s="506"/>
      <c r="I123" s="508">
        <f>F123</f>
        <v>120</v>
      </c>
      <c r="J123" s="509">
        <v>10000</v>
      </c>
      <c r="K123" s="503"/>
      <c r="L123" s="502"/>
      <c r="M123" s="388">
        <f>I123*J123</f>
        <v>1200000</v>
      </c>
    </row>
    <row r="124" spans="1:13" s="493" customFormat="1" ht="12.75">
      <c r="A124" s="492">
        <v>6</v>
      </c>
      <c r="B124" s="526" t="s">
        <v>1353</v>
      </c>
      <c r="C124" s="1166" t="s">
        <v>878</v>
      </c>
      <c r="D124" s="514"/>
      <c r="E124" s="527"/>
      <c r="F124" s="1272">
        <f>SUM('[8]Kassai'!D270)</f>
        <v>484</v>
      </c>
      <c r="G124" s="515"/>
      <c r="H124" s="515"/>
      <c r="I124" s="516">
        <f>F124</f>
        <v>484</v>
      </c>
      <c r="J124" s="517">
        <v>1000</v>
      </c>
      <c r="K124" s="528"/>
      <c r="L124" s="518"/>
      <c r="M124" s="519">
        <f>I124*J124</f>
        <v>484000</v>
      </c>
    </row>
    <row r="125" spans="1:13" s="493" customFormat="1" ht="14.25">
      <c r="A125" s="492"/>
      <c r="B125" s="1425" t="s">
        <v>1409</v>
      </c>
      <c r="C125" s="1426"/>
      <c r="D125" s="1426"/>
      <c r="E125" s="1426"/>
      <c r="F125" s="1426"/>
      <c r="G125" s="1426"/>
      <c r="H125" s="1426"/>
      <c r="I125" s="1427"/>
      <c r="J125" s="466"/>
      <c r="K125" s="529"/>
      <c r="L125" s="530"/>
      <c r="M125" s="521">
        <f>SUM(M102:M124)</f>
        <v>109460183.24016565</v>
      </c>
    </row>
    <row r="126" spans="1:13" s="493" customFormat="1" ht="25.5">
      <c r="A126" s="493">
        <v>7</v>
      </c>
      <c r="B126" s="554" t="s">
        <v>553</v>
      </c>
      <c r="C126" s="1163" t="s">
        <v>1339</v>
      </c>
      <c r="D126" s="463"/>
      <c r="E126" s="497">
        <f>SUM('[8]Széchenyi krt.'!C27)</f>
        <v>51</v>
      </c>
      <c r="F126" s="496"/>
      <c r="G126" s="497"/>
      <c r="H126" s="497"/>
      <c r="I126" s="497"/>
      <c r="J126" s="498">
        <v>2550000</v>
      </c>
      <c r="K126" s="497">
        <f>SUM('[8]Széchenyi krt segéd'!M11)</f>
        <v>4930000</v>
      </c>
      <c r="L126" s="496"/>
      <c r="M126" s="499">
        <f aca="true" t="shared" si="6" ref="M126:M145">SUM(K126:L126)</f>
        <v>4930000</v>
      </c>
    </row>
    <row r="127" spans="1:13" s="493" customFormat="1" ht="25.5">
      <c r="A127" s="493">
        <v>7</v>
      </c>
      <c r="B127" s="1053" t="s">
        <v>553</v>
      </c>
      <c r="C127" s="1164" t="s">
        <v>718</v>
      </c>
      <c r="D127" s="501"/>
      <c r="E127" s="502">
        <f>SUM('[8]Széchenyi krt.'!C28)</f>
        <v>104</v>
      </c>
      <c r="F127" s="503"/>
      <c r="G127" s="502"/>
      <c r="H127" s="502"/>
      <c r="I127" s="502"/>
      <c r="J127" s="504">
        <v>2550000</v>
      </c>
      <c r="K127" s="502">
        <f>SUM('[8]Széchenyi krt segéd'!M12)</f>
        <v>12688000</v>
      </c>
      <c r="L127" s="503"/>
      <c r="M127" s="388">
        <f t="shared" si="6"/>
        <v>12688000</v>
      </c>
    </row>
    <row r="128" spans="1:13" s="493" customFormat="1" ht="25.5">
      <c r="A128" s="493">
        <v>7</v>
      </c>
      <c r="B128" s="1053" t="s">
        <v>553</v>
      </c>
      <c r="C128" s="1164" t="s">
        <v>1468</v>
      </c>
      <c r="D128" s="501"/>
      <c r="E128" s="502">
        <f>SUM('[8]Széchenyi krt.'!C29)</f>
        <v>57</v>
      </c>
      <c r="F128" s="503"/>
      <c r="G128" s="502"/>
      <c r="H128" s="502"/>
      <c r="I128" s="502"/>
      <c r="J128" s="504">
        <v>2550000</v>
      </c>
      <c r="K128" s="502">
        <f>SUM('[8]Széchenyi krt segéd'!M13)</f>
        <v>8418187.499999998</v>
      </c>
      <c r="L128" s="503"/>
      <c r="M128" s="388">
        <f t="shared" si="6"/>
        <v>8418187.499999998</v>
      </c>
    </row>
    <row r="129" spans="1:13" s="493" customFormat="1" ht="25.5">
      <c r="A129" s="493">
        <v>7</v>
      </c>
      <c r="B129" s="1053" t="s">
        <v>553</v>
      </c>
      <c r="C129" s="1164" t="s">
        <v>719</v>
      </c>
      <c r="D129" s="501"/>
      <c r="E129" s="502">
        <f>SUM('[8]Széchenyi krt.'!C30)</f>
        <v>54</v>
      </c>
      <c r="F129" s="503"/>
      <c r="G129" s="502"/>
      <c r="H129" s="502"/>
      <c r="I129" s="502"/>
      <c r="J129" s="504">
        <v>2550000</v>
      </c>
      <c r="K129" s="502">
        <f>SUM('[8]Széchenyi krt segéd'!M14)</f>
        <v>6120000</v>
      </c>
      <c r="L129" s="503"/>
      <c r="M129" s="388">
        <f t="shared" si="6"/>
        <v>6120000</v>
      </c>
    </row>
    <row r="130" spans="1:13" s="493" customFormat="1" ht="25.5">
      <c r="A130" s="493">
        <v>7</v>
      </c>
      <c r="B130" s="1053" t="s">
        <v>553</v>
      </c>
      <c r="C130" s="1164" t="s">
        <v>1469</v>
      </c>
      <c r="D130" s="501"/>
      <c r="E130" s="502">
        <f>SUM('[8]Széchenyi krt.'!C31)</f>
        <v>47</v>
      </c>
      <c r="F130" s="503"/>
      <c r="G130" s="502"/>
      <c r="H130" s="502"/>
      <c r="I130" s="502"/>
      <c r="J130" s="504">
        <v>2550000</v>
      </c>
      <c r="K130" s="502">
        <f>SUM('[8]Széchenyi krt segéd'!M15)</f>
        <v>6192250</v>
      </c>
      <c r="L130" s="503"/>
      <c r="M130" s="388">
        <f t="shared" si="6"/>
        <v>6192250</v>
      </c>
    </row>
    <row r="131" spans="1:13" s="493" customFormat="1" ht="25.5">
      <c r="A131" s="493">
        <v>7</v>
      </c>
      <c r="B131" s="1053" t="s">
        <v>553</v>
      </c>
      <c r="C131" s="1164" t="s">
        <v>1470</v>
      </c>
      <c r="D131" s="501"/>
      <c r="E131" s="502">
        <f>SUM('[8]Széchenyi krt.'!C32)</f>
        <v>159</v>
      </c>
      <c r="F131" s="503"/>
      <c r="G131" s="502"/>
      <c r="H131" s="502"/>
      <c r="I131" s="502"/>
      <c r="J131" s="504">
        <v>2550000</v>
      </c>
      <c r="K131" s="502">
        <f>SUM('[8]Széchenyi krt segéd'!M16)</f>
        <v>23800000</v>
      </c>
      <c r="L131" s="503"/>
      <c r="M131" s="388">
        <f t="shared" si="6"/>
        <v>23800000</v>
      </c>
    </row>
    <row r="132" spans="1:13" s="493" customFormat="1" ht="25.5">
      <c r="A132" s="493">
        <v>7</v>
      </c>
      <c r="B132" s="1053" t="s">
        <v>553</v>
      </c>
      <c r="C132" s="1164" t="s">
        <v>1471</v>
      </c>
      <c r="D132" s="504"/>
      <c r="E132" s="503"/>
      <c r="F132" s="502">
        <f>SUM('[8]Széchenyi krt.'!D34)</f>
        <v>105</v>
      </c>
      <c r="G132" s="502"/>
      <c r="H132" s="502"/>
      <c r="I132" s="502"/>
      <c r="J132" s="504">
        <v>2550000</v>
      </c>
      <c r="K132" s="503"/>
      <c r="L132" s="502">
        <f>SUM('[8]Széchenyi krt segéd'!M32)</f>
        <v>5100000</v>
      </c>
      <c r="M132" s="388">
        <f t="shared" si="6"/>
        <v>5100000</v>
      </c>
    </row>
    <row r="133" spans="1:13" s="493" customFormat="1" ht="25.5">
      <c r="A133" s="493">
        <v>7</v>
      </c>
      <c r="B133" s="1053" t="s">
        <v>553</v>
      </c>
      <c r="C133" s="1164" t="s">
        <v>1472</v>
      </c>
      <c r="D133" s="504"/>
      <c r="E133" s="503"/>
      <c r="F133" s="502">
        <f>SUM('[8]Széchenyi krt.'!D35)</f>
        <v>55</v>
      </c>
      <c r="G133" s="502"/>
      <c r="H133" s="502"/>
      <c r="I133" s="502"/>
      <c r="J133" s="504">
        <v>2550000</v>
      </c>
      <c r="K133" s="503"/>
      <c r="L133" s="502">
        <f>SUM('[8]Széchenyi krt segéd'!M33)</f>
        <v>3355000</v>
      </c>
      <c r="M133" s="388">
        <f t="shared" si="6"/>
        <v>3355000</v>
      </c>
    </row>
    <row r="134" spans="1:13" s="493" customFormat="1" ht="25.5">
      <c r="A134" s="493">
        <v>7</v>
      </c>
      <c r="B134" s="1053" t="s">
        <v>553</v>
      </c>
      <c r="C134" s="1164" t="s">
        <v>1473</v>
      </c>
      <c r="D134" s="504"/>
      <c r="E134" s="503"/>
      <c r="F134" s="502">
        <f>SUM('[8]Széchenyi krt.'!D36)</f>
        <v>50</v>
      </c>
      <c r="G134" s="502"/>
      <c r="H134" s="502"/>
      <c r="I134" s="502"/>
      <c r="J134" s="504">
        <v>2550000</v>
      </c>
      <c r="K134" s="503"/>
      <c r="L134" s="502">
        <f>SUM('[8]Széchenyi krt segéd'!M34)</f>
        <v>3692187.5</v>
      </c>
      <c r="M134" s="388">
        <f t="shared" si="6"/>
        <v>3692187.5</v>
      </c>
    </row>
    <row r="135" spans="1:13" s="493" customFormat="1" ht="25.5">
      <c r="A135" s="493">
        <v>7</v>
      </c>
      <c r="B135" s="1053" t="s">
        <v>553</v>
      </c>
      <c r="C135" s="1164" t="s">
        <v>1474</v>
      </c>
      <c r="D135" s="504"/>
      <c r="E135" s="503"/>
      <c r="F135" s="502">
        <f>SUM('[8]Széchenyi krt.'!D37)</f>
        <v>112</v>
      </c>
      <c r="G135" s="502"/>
      <c r="H135" s="502"/>
      <c r="I135" s="502"/>
      <c r="J135" s="504">
        <v>2550000</v>
      </c>
      <c r="K135" s="503"/>
      <c r="L135" s="502">
        <f>SUM('[8]Széchenyi krt segéd'!M35)</f>
        <v>6415652.173913044</v>
      </c>
      <c r="M135" s="388">
        <f t="shared" si="6"/>
        <v>6415652.173913044</v>
      </c>
    </row>
    <row r="136" spans="1:13" s="493" customFormat="1" ht="25.5">
      <c r="A136" s="493">
        <v>7</v>
      </c>
      <c r="B136" s="1053" t="s">
        <v>553</v>
      </c>
      <c r="C136" s="1164" t="s">
        <v>1476</v>
      </c>
      <c r="D136" s="504"/>
      <c r="E136" s="503"/>
      <c r="F136" s="502">
        <f>SUM('[8]Széchenyi krt.'!D38)</f>
        <v>129</v>
      </c>
      <c r="G136" s="502"/>
      <c r="H136" s="502"/>
      <c r="I136" s="502"/>
      <c r="J136" s="504">
        <v>2550000</v>
      </c>
      <c r="K136" s="503"/>
      <c r="L136" s="502">
        <f>SUM('[8]Széchenyi krt segéd'!M36)</f>
        <v>9649200</v>
      </c>
      <c r="M136" s="388">
        <f t="shared" si="6"/>
        <v>9649200</v>
      </c>
    </row>
    <row r="137" spans="1:13" s="493" customFormat="1" ht="25.5">
      <c r="A137" s="492">
        <v>7</v>
      </c>
      <c r="B137" s="1053" t="s">
        <v>553</v>
      </c>
      <c r="C137" s="1165" t="s">
        <v>590</v>
      </c>
      <c r="D137" s="509"/>
      <c r="E137" s="506">
        <f>SUM('[8]Széchenyi krt.'!C67)</f>
        <v>323.5</v>
      </c>
      <c r="F137" s="506"/>
      <c r="G137" s="507">
        <f>E137*8/12</f>
        <v>215.66666666666666</v>
      </c>
      <c r="H137" s="506"/>
      <c r="I137" s="512">
        <f>ROUND(SUM(G137:H137),0)</f>
        <v>216</v>
      </c>
      <c r="J137" s="509">
        <v>20000</v>
      </c>
      <c r="K137" s="502">
        <f>J137*I137</f>
        <v>4320000</v>
      </c>
      <c r="L137" s="502"/>
      <c r="M137" s="388">
        <f t="shared" si="6"/>
        <v>4320000</v>
      </c>
    </row>
    <row r="138" spans="1:13" s="493" customFormat="1" ht="25.5">
      <c r="A138" s="492">
        <v>7</v>
      </c>
      <c r="B138" s="1053" t="s">
        <v>553</v>
      </c>
      <c r="C138" s="1165" t="s">
        <v>580</v>
      </c>
      <c r="D138" s="104"/>
      <c r="E138" s="503"/>
      <c r="F138" s="506">
        <f>SUM('[8]Széchenyi krt.'!D74)</f>
        <v>330</v>
      </c>
      <c r="G138" s="502"/>
      <c r="H138" s="502"/>
      <c r="I138" s="1271">
        <f>F138</f>
        <v>330</v>
      </c>
      <c r="J138" s="504">
        <v>2500000</v>
      </c>
      <c r="K138" s="503"/>
      <c r="L138" s="502">
        <f>SUM('[8]Széchenyi krt segéd'!M42)</f>
        <v>2244000</v>
      </c>
      <c r="M138" s="388">
        <f t="shared" si="6"/>
        <v>2244000</v>
      </c>
    </row>
    <row r="139" spans="1:13" s="493" customFormat="1" ht="25.5">
      <c r="A139" s="492">
        <v>7</v>
      </c>
      <c r="B139" s="1053" t="s">
        <v>553</v>
      </c>
      <c r="C139" s="1165" t="s">
        <v>721</v>
      </c>
      <c r="D139" s="505"/>
      <c r="E139" s="502">
        <f>SUM('[8]Széchenyi krt.'!C100)</f>
        <v>155</v>
      </c>
      <c r="F139" s="510"/>
      <c r="G139" s="506"/>
      <c r="H139" s="506"/>
      <c r="I139" s="508">
        <f>E139/12*8</f>
        <v>103.33333333333333</v>
      </c>
      <c r="J139" s="509">
        <v>23000</v>
      </c>
      <c r="K139" s="502">
        <f>I139*J139</f>
        <v>2376666.6666666665</v>
      </c>
      <c r="L139" s="503"/>
      <c r="M139" s="388">
        <f t="shared" si="6"/>
        <v>2376666.6666666665</v>
      </c>
    </row>
    <row r="140" spans="1:13" s="493" customFormat="1" ht="25.5">
      <c r="A140" s="492">
        <v>7</v>
      </c>
      <c r="B140" s="1053" t="s">
        <v>553</v>
      </c>
      <c r="C140" s="1167" t="s">
        <v>1475</v>
      </c>
      <c r="D140" s="104"/>
      <c r="E140" s="503"/>
      <c r="F140" s="502">
        <f>SUM('[8]Széchenyi krt.'!D103)</f>
        <v>62</v>
      </c>
      <c r="G140" s="502"/>
      <c r="H140" s="502"/>
      <c r="I140" s="502"/>
      <c r="J140" s="504">
        <v>2550000</v>
      </c>
      <c r="K140" s="503"/>
      <c r="L140" s="502">
        <f>SUM('[8]Széchenyi krt segéd'!M44)</f>
        <v>510000</v>
      </c>
      <c r="M140" s="388">
        <f t="shared" si="6"/>
        <v>510000</v>
      </c>
    </row>
    <row r="141" spans="1:13" s="493" customFormat="1" ht="25.5">
      <c r="A141" s="492">
        <v>7</v>
      </c>
      <c r="B141" s="1053" t="s">
        <v>553</v>
      </c>
      <c r="C141" s="1167" t="s">
        <v>581</v>
      </c>
      <c r="D141" s="104"/>
      <c r="E141" s="503"/>
      <c r="F141" s="502">
        <f>SUM('[8]Széchenyi krt.'!D104)</f>
        <v>17</v>
      </c>
      <c r="G141" s="502"/>
      <c r="H141" s="502"/>
      <c r="I141" s="502"/>
      <c r="J141" s="504">
        <v>2550000</v>
      </c>
      <c r="K141" s="503"/>
      <c r="L141" s="502">
        <f>SUM('[8]Széchenyi krt segéd'!M45)</f>
        <v>92480</v>
      </c>
      <c r="M141" s="388">
        <f t="shared" si="6"/>
        <v>92480</v>
      </c>
    </row>
    <row r="142" spans="1:13" s="493" customFormat="1" ht="54" customHeight="1">
      <c r="A142" s="492">
        <v>7</v>
      </c>
      <c r="B142" s="1053" t="s">
        <v>553</v>
      </c>
      <c r="C142" s="1165" t="s">
        <v>585</v>
      </c>
      <c r="D142" s="509"/>
      <c r="E142" s="506">
        <f>SUM('[8]Széchenyi krt.'!C134)</f>
        <v>1</v>
      </c>
      <c r="F142" s="506">
        <f>SUM('[8]Széchenyi krt.'!D138)</f>
        <v>1</v>
      </c>
      <c r="G142" s="507">
        <f>E142*8/12</f>
        <v>0.6666666666666666</v>
      </c>
      <c r="H142" s="507">
        <f>F142*4/12</f>
        <v>0.3333333333333333</v>
      </c>
      <c r="I142" s="508">
        <f>SUM(G142:H142)</f>
        <v>1</v>
      </c>
      <c r="J142" s="509">
        <v>240000</v>
      </c>
      <c r="K142" s="502">
        <f>G142*J142</f>
        <v>160000</v>
      </c>
      <c r="L142" s="502">
        <f>H142*J142</f>
        <v>80000</v>
      </c>
      <c r="M142" s="388">
        <f t="shared" si="6"/>
        <v>240000</v>
      </c>
    </row>
    <row r="143" spans="1:13" s="493" customFormat="1" ht="51">
      <c r="A143" s="492">
        <v>7</v>
      </c>
      <c r="B143" s="1053" t="s">
        <v>553</v>
      </c>
      <c r="C143" s="1165" t="s">
        <v>716</v>
      </c>
      <c r="D143" s="509"/>
      <c r="E143" s="506">
        <f>SUM('[8]Széchenyi krt.'!C159)</f>
        <v>40</v>
      </c>
      <c r="F143" s="503"/>
      <c r="G143" s="507">
        <f>E143*8/12</f>
        <v>26.666666666666668</v>
      </c>
      <c r="H143" s="511"/>
      <c r="I143" s="508">
        <f>SUM(G143:H143)</f>
        <v>26.666666666666668</v>
      </c>
      <c r="J143" s="509">
        <v>192000</v>
      </c>
      <c r="K143" s="502">
        <f>G143*J143</f>
        <v>5120000</v>
      </c>
      <c r="L143" s="503"/>
      <c r="M143" s="388">
        <f t="shared" si="6"/>
        <v>5120000</v>
      </c>
    </row>
    <row r="144" spans="1:13" s="493" customFormat="1" ht="42" customHeight="1">
      <c r="A144" s="492">
        <v>7</v>
      </c>
      <c r="B144" s="1053" t="s">
        <v>553</v>
      </c>
      <c r="C144" s="1165" t="s">
        <v>1336</v>
      </c>
      <c r="D144" s="505"/>
      <c r="E144" s="510"/>
      <c r="F144" s="506">
        <f>SUM('[8]Széchenyi krt.'!D165)</f>
        <v>6</v>
      </c>
      <c r="G144" s="506"/>
      <c r="H144" s="507">
        <f>F144*4/12</f>
        <v>2</v>
      </c>
      <c r="I144" s="508">
        <f>SUM(G144:H144)</f>
        <v>2</v>
      </c>
      <c r="J144" s="509">
        <v>192000</v>
      </c>
      <c r="K144" s="510"/>
      <c r="L144" s="502">
        <f>H144*J144</f>
        <v>384000</v>
      </c>
      <c r="M144" s="388">
        <f t="shared" si="6"/>
        <v>384000</v>
      </c>
    </row>
    <row r="145" spans="1:13" s="493" customFormat="1" ht="38.25">
      <c r="A145" s="492">
        <v>7</v>
      </c>
      <c r="B145" s="1053" t="s">
        <v>553</v>
      </c>
      <c r="C145" s="1165" t="s">
        <v>1337</v>
      </c>
      <c r="D145" s="505"/>
      <c r="E145" s="510"/>
      <c r="F145" s="506">
        <f>SUM('[8]Széchenyi krt.'!D171)</f>
        <v>21</v>
      </c>
      <c r="G145" s="506"/>
      <c r="H145" s="507">
        <f>F145*4/12</f>
        <v>7</v>
      </c>
      <c r="I145" s="508">
        <f>SUM(G145:H145)</f>
        <v>7</v>
      </c>
      <c r="J145" s="509">
        <v>144000</v>
      </c>
      <c r="K145" s="510"/>
      <c r="L145" s="506">
        <f>I145*J145</f>
        <v>1008000</v>
      </c>
      <c r="M145" s="388">
        <f t="shared" si="6"/>
        <v>1008000</v>
      </c>
    </row>
    <row r="146" spans="1:13" s="493" customFormat="1" ht="25.5">
      <c r="A146" s="492">
        <v>7</v>
      </c>
      <c r="B146" s="1053" t="s">
        <v>553</v>
      </c>
      <c r="C146" s="1165" t="s">
        <v>1508</v>
      </c>
      <c r="D146" s="505"/>
      <c r="E146" s="1273">
        <f>SUM('[8]Széchenyi krt.'!C258)</f>
        <v>124</v>
      </c>
      <c r="F146" s="506">
        <f>SUM('[8]Széchenyi krt.'!D264)</f>
        <v>0</v>
      </c>
      <c r="G146" s="506"/>
      <c r="H146" s="506"/>
      <c r="I146" s="508">
        <f>SUM(E146:F146)</f>
        <v>124</v>
      </c>
      <c r="J146" s="509">
        <v>55000</v>
      </c>
      <c r="K146" s="502"/>
      <c r="L146" s="502"/>
      <c r="M146" s="388">
        <f>I146*J146</f>
        <v>6820000</v>
      </c>
    </row>
    <row r="147" spans="1:13" s="493" customFormat="1" ht="38.25">
      <c r="A147" s="492">
        <v>7</v>
      </c>
      <c r="B147" s="1053" t="s">
        <v>553</v>
      </c>
      <c r="C147" s="1165" t="s">
        <v>586</v>
      </c>
      <c r="D147" s="505"/>
      <c r="E147" s="525"/>
      <c r="F147" s="1273">
        <f>SUM('[8]Széchenyi krt.'!D267)</f>
        <v>6</v>
      </c>
      <c r="G147" s="525"/>
      <c r="H147" s="525"/>
      <c r="I147" s="508">
        <f>F147</f>
        <v>6</v>
      </c>
      <c r="J147" s="509">
        <v>16000</v>
      </c>
      <c r="K147" s="502"/>
      <c r="L147" s="502"/>
      <c r="M147" s="388">
        <f>I147*J147</f>
        <v>96000</v>
      </c>
    </row>
    <row r="148" spans="1:13" s="493" customFormat="1" ht="25.5">
      <c r="A148" s="492">
        <v>7</v>
      </c>
      <c r="B148" s="1053" t="s">
        <v>553</v>
      </c>
      <c r="C148" s="1165" t="s">
        <v>1509</v>
      </c>
      <c r="D148" s="505"/>
      <c r="E148" s="510"/>
      <c r="F148" s="1273">
        <f>SUM('[8]Széchenyi krt.'!D269)</f>
        <v>176</v>
      </c>
      <c r="G148" s="506"/>
      <c r="H148" s="506"/>
      <c r="I148" s="508">
        <f>F148</f>
        <v>176</v>
      </c>
      <c r="J148" s="509">
        <v>10000</v>
      </c>
      <c r="K148" s="503"/>
      <c r="L148" s="502"/>
      <c r="M148" s="388">
        <f>I148*J148</f>
        <v>1760000</v>
      </c>
    </row>
    <row r="149" spans="1:13" s="493" customFormat="1" ht="25.5">
      <c r="A149" s="492">
        <v>7</v>
      </c>
      <c r="B149" s="556" t="s">
        <v>553</v>
      </c>
      <c r="C149" s="1166" t="s">
        <v>878</v>
      </c>
      <c r="D149" s="514"/>
      <c r="E149" s="527"/>
      <c r="F149" s="1272">
        <f>SUM('[8]Széchenyi krt.'!D270)</f>
        <v>451</v>
      </c>
      <c r="G149" s="515"/>
      <c r="H149" s="515"/>
      <c r="I149" s="516">
        <f>F149</f>
        <v>451</v>
      </c>
      <c r="J149" s="517">
        <v>1000</v>
      </c>
      <c r="K149" s="528"/>
      <c r="L149" s="518"/>
      <c r="M149" s="519">
        <f>I149*J149</f>
        <v>451000</v>
      </c>
    </row>
    <row r="150" spans="1:13" s="493" customFormat="1" ht="14.25">
      <c r="A150" s="492"/>
      <c r="B150" s="1425" t="s">
        <v>724</v>
      </c>
      <c r="C150" s="1426"/>
      <c r="D150" s="1426"/>
      <c r="E150" s="1426"/>
      <c r="F150" s="1426"/>
      <c r="G150" s="1426"/>
      <c r="H150" s="1426"/>
      <c r="I150" s="1427"/>
      <c r="J150" s="583"/>
      <c r="K150" s="1361"/>
      <c r="L150" s="1360"/>
      <c r="M150" s="1284">
        <f>SUM(M126:M149)</f>
        <v>115782623.84057972</v>
      </c>
    </row>
    <row r="151" spans="1:13" s="493" customFormat="1" ht="12.75">
      <c r="A151" s="493">
        <v>8</v>
      </c>
      <c r="B151" s="522" t="s">
        <v>1354</v>
      </c>
      <c r="C151" s="1163" t="s">
        <v>1339</v>
      </c>
      <c r="D151" s="463"/>
      <c r="E151" s="497">
        <f>SUM('[8]Újváros'!C27)</f>
        <v>47</v>
      </c>
      <c r="F151" s="496"/>
      <c r="G151" s="497"/>
      <c r="H151" s="497"/>
      <c r="I151" s="497"/>
      <c r="J151" s="498">
        <v>2550000</v>
      </c>
      <c r="K151" s="497">
        <f>SUM('[8]Újváros segéd'!M11)</f>
        <v>4590000</v>
      </c>
      <c r="L151" s="496"/>
      <c r="M151" s="499">
        <f aca="true" t="shared" si="7" ref="M151:M168">SUM(K151:L151)</f>
        <v>4590000</v>
      </c>
    </row>
    <row r="152" spans="1:13" s="493" customFormat="1" ht="12.75">
      <c r="A152" s="493">
        <v>8</v>
      </c>
      <c r="B152" s="523" t="s">
        <v>1354</v>
      </c>
      <c r="C152" s="1164" t="s">
        <v>718</v>
      </c>
      <c r="D152" s="501"/>
      <c r="E152" s="502">
        <f>SUM('[8]Újváros'!C28)</f>
        <v>61</v>
      </c>
      <c r="F152" s="503"/>
      <c r="G152" s="502"/>
      <c r="H152" s="502"/>
      <c r="I152" s="502"/>
      <c r="J152" s="504">
        <v>2550000</v>
      </c>
      <c r="K152" s="502">
        <f>SUM('[8]Újváros segéd'!M12)</f>
        <v>7442000</v>
      </c>
      <c r="L152" s="503"/>
      <c r="M152" s="388">
        <f t="shared" si="7"/>
        <v>7442000</v>
      </c>
    </row>
    <row r="153" spans="1:13" s="493" customFormat="1" ht="12.75">
      <c r="A153" s="493">
        <v>8</v>
      </c>
      <c r="B153" s="523" t="s">
        <v>1354</v>
      </c>
      <c r="C153" s="1164" t="s">
        <v>1468</v>
      </c>
      <c r="D153" s="501"/>
      <c r="E153" s="502">
        <f>SUM('[8]Újváros'!C29)</f>
        <v>30</v>
      </c>
      <c r="F153" s="503"/>
      <c r="G153" s="502"/>
      <c r="H153" s="502"/>
      <c r="I153" s="502"/>
      <c r="J153" s="504">
        <v>2550000</v>
      </c>
      <c r="K153" s="502">
        <f>SUM('[8]Újváros segéd'!M13)</f>
        <v>4430624.999999999</v>
      </c>
      <c r="L153" s="503"/>
      <c r="M153" s="388">
        <f t="shared" si="7"/>
        <v>4430624.999999999</v>
      </c>
    </row>
    <row r="154" spans="1:13" s="493" customFormat="1" ht="12.75">
      <c r="A154" s="493">
        <v>8</v>
      </c>
      <c r="B154" s="523" t="s">
        <v>1354</v>
      </c>
      <c r="C154" s="1164" t="s">
        <v>719</v>
      </c>
      <c r="D154" s="501"/>
      <c r="E154" s="502">
        <f>SUM('[8]Újváros'!C30)</f>
        <v>27</v>
      </c>
      <c r="F154" s="503"/>
      <c r="G154" s="502"/>
      <c r="H154" s="502"/>
      <c r="I154" s="502"/>
      <c r="J154" s="504">
        <v>2550000</v>
      </c>
      <c r="K154" s="502">
        <f>SUM('[8]Újváros segéd'!M14)</f>
        <v>3060000</v>
      </c>
      <c r="L154" s="503"/>
      <c r="M154" s="388">
        <f t="shared" si="7"/>
        <v>3060000</v>
      </c>
    </row>
    <row r="155" spans="1:13" s="493" customFormat="1" ht="12.75">
      <c r="A155" s="493">
        <v>8</v>
      </c>
      <c r="B155" s="523" t="s">
        <v>1354</v>
      </c>
      <c r="C155" s="1164" t="s">
        <v>1469</v>
      </c>
      <c r="D155" s="501"/>
      <c r="E155" s="502">
        <f>SUM('[8]Újváros'!C31)</f>
        <v>21</v>
      </c>
      <c r="F155" s="503"/>
      <c r="G155" s="502"/>
      <c r="H155" s="502"/>
      <c r="I155" s="502"/>
      <c r="J155" s="504">
        <v>2550000</v>
      </c>
      <c r="K155" s="502">
        <f>SUM('[8]Újváros segéd'!M15)</f>
        <v>2766750.0000000005</v>
      </c>
      <c r="L155" s="503"/>
      <c r="M155" s="388">
        <f t="shared" si="7"/>
        <v>2766750.0000000005</v>
      </c>
    </row>
    <row r="156" spans="1:13" s="493" customFormat="1" ht="12.75">
      <c r="A156" s="493">
        <v>8</v>
      </c>
      <c r="B156" s="523" t="s">
        <v>1354</v>
      </c>
      <c r="C156" s="1164" t="s">
        <v>1470</v>
      </c>
      <c r="D156" s="501"/>
      <c r="E156" s="502">
        <f>SUM('[8]Újváros'!C32)</f>
        <v>46</v>
      </c>
      <c r="F156" s="503"/>
      <c r="G156" s="502"/>
      <c r="H156" s="502"/>
      <c r="I156" s="502"/>
      <c r="J156" s="504">
        <v>2550000</v>
      </c>
      <c r="K156" s="502">
        <f>SUM('[8]Újváros segéd'!M16)</f>
        <v>6800000</v>
      </c>
      <c r="L156" s="503"/>
      <c r="M156" s="388">
        <f t="shared" si="7"/>
        <v>6800000</v>
      </c>
    </row>
    <row r="157" spans="1:13" s="493" customFormat="1" ht="12.75">
      <c r="A157" s="493">
        <v>8</v>
      </c>
      <c r="B157" s="523" t="s">
        <v>1354</v>
      </c>
      <c r="C157" s="1164" t="s">
        <v>1471</v>
      </c>
      <c r="D157" s="504"/>
      <c r="E157" s="503"/>
      <c r="F157" s="502">
        <f>SUM('[8]Újváros'!D34)</f>
        <v>92</v>
      </c>
      <c r="G157" s="502"/>
      <c r="H157" s="502"/>
      <c r="I157" s="502"/>
      <c r="J157" s="504">
        <v>2550000</v>
      </c>
      <c r="K157" s="503"/>
      <c r="L157" s="502">
        <f>SUM('[8]Újváros segéd'!M32)</f>
        <v>4468571.428571428</v>
      </c>
      <c r="M157" s="388">
        <f t="shared" si="7"/>
        <v>4468571.428571428</v>
      </c>
    </row>
    <row r="158" spans="1:13" s="493" customFormat="1" ht="12.75">
      <c r="A158" s="493">
        <v>8</v>
      </c>
      <c r="B158" s="523" t="s">
        <v>1354</v>
      </c>
      <c r="C158" s="1164" t="s">
        <v>1472</v>
      </c>
      <c r="D158" s="504"/>
      <c r="E158" s="503"/>
      <c r="F158" s="502">
        <f>SUM('[8]Újváros'!D35)</f>
        <v>32</v>
      </c>
      <c r="G158" s="502"/>
      <c r="H158" s="502"/>
      <c r="I158" s="502"/>
      <c r="J158" s="504">
        <v>2550000</v>
      </c>
      <c r="K158" s="503"/>
      <c r="L158" s="502">
        <f>SUM('[8]Újváros segéd'!M33)</f>
        <v>1952000</v>
      </c>
      <c r="M158" s="388">
        <f t="shared" si="7"/>
        <v>1952000</v>
      </c>
    </row>
    <row r="159" spans="1:13" s="493" customFormat="1" ht="12.75">
      <c r="A159" s="493">
        <v>8</v>
      </c>
      <c r="B159" s="523" t="s">
        <v>1354</v>
      </c>
      <c r="C159" s="1164" t="s">
        <v>1473</v>
      </c>
      <c r="D159" s="504"/>
      <c r="E159" s="503"/>
      <c r="F159" s="502">
        <f>SUM('[8]Újváros'!D36)</f>
        <v>27</v>
      </c>
      <c r="G159" s="502"/>
      <c r="H159" s="502"/>
      <c r="I159" s="502"/>
      <c r="J159" s="504">
        <v>2550000</v>
      </c>
      <c r="K159" s="503"/>
      <c r="L159" s="502">
        <f>SUM('[8]Újváros segéd'!M34)</f>
        <v>1993781.2499999998</v>
      </c>
      <c r="M159" s="388">
        <f t="shared" si="7"/>
        <v>1993781.2499999998</v>
      </c>
    </row>
    <row r="160" spans="1:13" s="493" customFormat="1" ht="12.75">
      <c r="A160" s="493">
        <v>8</v>
      </c>
      <c r="B160" s="523" t="s">
        <v>1354</v>
      </c>
      <c r="C160" s="1164" t="s">
        <v>1474</v>
      </c>
      <c r="D160" s="504"/>
      <c r="E160" s="503"/>
      <c r="F160" s="502">
        <f>SUM('[8]Újváros'!D37)</f>
        <v>55</v>
      </c>
      <c r="G160" s="502"/>
      <c r="H160" s="502"/>
      <c r="I160" s="502"/>
      <c r="J160" s="504">
        <v>2550000</v>
      </c>
      <c r="K160" s="503"/>
      <c r="L160" s="502">
        <f>SUM('[8]Újváros segéd'!M35)</f>
        <v>3150543.4782608696</v>
      </c>
      <c r="M160" s="388">
        <f t="shared" si="7"/>
        <v>3150543.4782608696</v>
      </c>
    </row>
    <row r="161" spans="1:13" s="493" customFormat="1" ht="12.75">
      <c r="A161" s="493">
        <v>8</v>
      </c>
      <c r="B161" s="523" t="s">
        <v>1354</v>
      </c>
      <c r="C161" s="1164" t="s">
        <v>1476</v>
      </c>
      <c r="D161" s="504"/>
      <c r="E161" s="503"/>
      <c r="F161" s="502">
        <f>SUM('[8]Újváros'!D38)</f>
        <v>45</v>
      </c>
      <c r="G161" s="502"/>
      <c r="H161" s="502"/>
      <c r="I161" s="502"/>
      <c r="J161" s="504">
        <v>2550000</v>
      </c>
      <c r="K161" s="503"/>
      <c r="L161" s="502">
        <f>SUM('[8]Újváros segéd'!M36)</f>
        <v>3366000</v>
      </c>
      <c r="M161" s="388">
        <f t="shared" si="7"/>
        <v>3366000</v>
      </c>
    </row>
    <row r="162" spans="1:13" s="493" customFormat="1" ht="12.75">
      <c r="A162" s="492">
        <v>8</v>
      </c>
      <c r="B162" s="523" t="s">
        <v>1354</v>
      </c>
      <c r="C162" s="1165" t="s">
        <v>721</v>
      </c>
      <c r="D162" s="505"/>
      <c r="E162" s="502">
        <f>SUM('[8]Újváros'!C100)</f>
        <v>93</v>
      </c>
      <c r="F162" s="510"/>
      <c r="G162" s="506"/>
      <c r="H162" s="506"/>
      <c r="I162" s="508">
        <f>E162/12*8</f>
        <v>62</v>
      </c>
      <c r="J162" s="509">
        <v>23000</v>
      </c>
      <c r="K162" s="502">
        <f>I162*J162</f>
        <v>1426000</v>
      </c>
      <c r="L162" s="503"/>
      <c r="M162" s="388">
        <f t="shared" si="7"/>
        <v>1426000</v>
      </c>
    </row>
    <row r="163" spans="1:13" s="493" customFormat="1" ht="12.75">
      <c r="A163" s="492">
        <v>8</v>
      </c>
      <c r="B163" s="523" t="s">
        <v>1354</v>
      </c>
      <c r="C163" s="1167" t="s">
        <v>1475</v>
      </c>
      <c r="D163" s="104"/>
      <c r="E163" s="503"/>
      <c r="F163" s="502">
        <f>SUM('[8]Újváros'!D103)</f>
        <v>30</v>
      </c>
      <c r="G163" s="502"/>
      <c r="H163" s="502"/>
      <c r="I163" s="502"/>
      <c r="J163" s="504">
        <v>2550000</v>
      </c>
      <c r="K163" s="503"/>
      <c r="L163" s="502">
        <f>SUM('[8]Újváros segéd'!M44)</f>
        <v>255000</v>
      </c>
      <c r="M163" s="388">
        <f t="shared" si="7"/>
        <v>255000</v>
      </c>
    </row>
    <row r="164" spans="1:13" s="493" customFormat="1" ht="17.25" customHeight="1">
      <c r="A164" s="492">
        <v>8</v>
      </c>
      <c r="B164" s="523" t="s">
        <v>1354</v>
      </c>
      <c r="C164" s="1167" t="s">
        <v>581</v>
      </c>
      <c r="D164" s="104"/>
      <c r="E164" s="503"/>
      <c r="F164" s="502">
        <f>SUM('[8]Újváros'!D104)</f>
        <v>16</v>
      </c>
      <c r="G164" s="502"/>
      <c r="H164" s="502"/>
      <c r="I164" s="502"/>
      <c r="J164" s="504">
        <v>2550000</v>
      </c>
      <c r="K164" s="503"/>
      <c r="L164" s="502">
        <f>SUM('[8]Újváros segéd'!M45)</f>
        <v>87040</v>
      </c>
      <c r="M164" s="388">
        <f t="shared" si="7"/>
        <v>87040</v>
      </c>
    </row>
    <row r="165" spans="1:13" s="493" customFormat="1" ht="57" customHeight="1">
      <c r="A165" s="492">
        <v>8</v>
      </c>
      <c r="B165" s="523" t="s">
        <v>1354</v>
      </c>
      <c r="C165" s="1165" t="s">
        <v>585</v>
      </c>
      <c r="D165" s="509"/>
      <c r="E165" s="506">
        <f>SUM('[8]Újváros'!C134)</f>
        <v>1</v>
      </c>
      <c r="F165" s="506">
        <f>SUM('[8]Újváros'!D138)</f>
        <v>1</v>
      </c>
      <c r="G165" s="507">
        <f>E165*8/12</f>
        <v>0.6666666666666666</v>
      </c>
      <c r="H165" s="507">
        <f>F165*4/12</f>
        <v>0.3333333333333333</v>
      </c>
      <c r="I165" s="508">
        <f>SUM(G165:H165)</f>
        <v>1</v>
      </c>
      <c r="J165" s="509">
        <v>240000</v>
      </c>
      <c r="K165" s="502">
        <f>G165*J165</f>
        <v>160000</v>
      </c>
      <c r="L165" s="502">
        <f>H165*J165</f>
        <v>80000</v>
      </c>
      <c r="M165" s="388">
        <f t="shared" si="7"/>
        <v>240000</v>
      </c>
    </row>
    <row r="166" spans="1:13" s="493" customFormat="1" ht="51">
      <c r="A166" s="492">
        <v>8</v>
      </c>
      <c r="B166" s="523" t="s">
        <v>1354</v>
      </c>
      <c r="C166" s="1165" t="s">
        <v>716</v>
      </c>
      <c r="D166" s="509"/>
      <c r="E166" s="506">
        <f>SUM('[8]Újváros'!C159)</f>
        <v>69</v>
      </c>
      <c r="F166" s="503"/>
      <c r="G166" s="507">
        <f>E166*8/12</f>
        <v>46</v>
      </c>
      <c r="H166" s="511"/>
      <c r="I166" s="508">
        <f>SUM(G166:H166)</f>
        <v>46</v>
      </c>
      <c r="J166" s="509">
        <v>192000</v>
      </c>
      <c r="K166" s="502">
        <f>G166*J166</f>
        <v>8832000</v>
      </c>
      <c r="L166" s="503"/>
      <c r="M166" s="388">
        <f t="shared" si="7"/>
        <v>8832000</v>
      </c>
    </row>
    <row r="167" spans="1:13" s="493" customFormat="1" ht="42.75" customHeight="1">
      <c r="A167" s="492">
        <v>8</v>
      </c>
      <c r="B167" s="523" t="s">
        <v>1354</v>
      </c>
      <c r="C167" s="1165" t="s">
        <v>1336</v>
      </c>
      <c r="D167" s="505"/>
      <c r="E167" s="510"/>
      <c r="F167" s="506">
        <f>SUM('[8]Újváros'!D165)</f>
        <v>12</v>
      </c>
      <c r="G167" s="506"/>
      <c r="H167" s="507">
        <f>F167*4/12</f>
        <v>4</v>
      </c>
      <c r="I167" s="508">
        <f>SUM(G167:H167)</f>
        <v>4</v>
      </c>
      <c r="J167" s="509">
        <v>192000</v>
      </c>
      <c r="K167" s="510"/>
      <c r="L167" s="502">
        <f>H167*J167</f>
        <v>768000</v>
      </c>
      <c r="M167" s="388">
        <f t="shared" si="7"/>
        <v>768000</v>
      </c>
    </row>
    <row r="168" spans="1:13" s="493" customFormat="1" ht="38.25">
      <c r="A168" s="492">
        <v>8</v>
      </c>
      <c r="B168" s="523" t="s">
        <v>1354</v>
      </c>
      <c r="C168" s="1165" t="s">
        <v>1337</v>
      </c>
      <c r="D168" s="505"/>
      <c r="E168" s="510"/>
      <c r="F168" s="506">
        <f>SUM('[8]Újváros'!D171)</f>
        <v>57</v>
      </c>
      <c r="G168" s="506"/>
      <c r="H168" s="507">
        <f>F168*4/12</f>
        <v>19</v>
      </c>
      <c r="I168" s="508">
        <f>SUM(G168:H168)</f>
        <v>19</v>
      </c>
      <c r="J168" s="509">
        <v>144000</v>
      </c>
      <c r="K168" s="510"/>
      <c r="L168" s="506">
        <f>I168*J168</f>
        <v>2736000</v>
      </c>
      <c r="M168" s="388">
        <f t="shared" si="7"/>
        <v>2736000</v>
      </c>
    </row>
    <row r="169" spans="1:13" s="493" customFormat="1" ht="25.5">
      <c r="A169" s="492">
        <v>8</v>
      </c>
      <c r="B169" s="523" t="s">
        <v>1354</v>
      </c>
      <c r="C169" s="1165" t="s">
        <v>1508</v>
      </c>
      <c r="D169" s="505"/>
      <c r="E169" s="1273">
        <f>SUM('[8]Újváros'!C258)</f>
        <v>140</v>
      </c>
      <c r="F169" s="1273">
        <f>SUM('[8]Újváros'!D264)</f>
        <v>0</v>
      </c>
      <c r="G169" s="506"/>
      <c r="H169" s="506"/>
      <c r="I169" s="508">
        <f>SUM(E169:F169)</f>
        <v>140</v>
      </c>
      <c r="J169" s="509">
        <v>55000</v>
      </c>
      <c r="K169" s="502"/>
      <c r="L169" s="502"/>
      <c r="M169" s="388">
        <f>I169*J169</f>
        <v>7700000</v>
      </c>
    </row>
    <row r="170" spans="1:13" s="493" customFormat="1" ht="38.25">
      <c r="A170" s="492">
        <v>8</v>
      </c>
      <c r="B170" s="523" t="s">
        <v>1354</v>
      </c>
      <c r="C170" s="1165" t="s">
        <v>586</v>
      </c>
      <c r="D170" s="505"/>
      <c r="E170" s="1274"/>
      <c r="F170" s="1273">
        <f>SUM('[8]Újváros'!D267)</f>
        <v>15</v>
      </c>
      <c r="G170" s="525"/>
      <c r="H170" s="525"/>
      <c r="I170" s="508">
        <f>F170</f>
        <v>15</v>
      </c>
      <c r="J170" s="509">
        <v>16000</v>
      </c>
      <c r="K170" s="502"/>
      <c r="L170" s="502"/>
      <c r="M170" s="388">
        <f>I170*J170</f>
        <v>240000</v>
      </c>
    </row>
    <row r="171" spans="1:13" s="493" customFormat="1" ht="12.75">
      <c r="A171" s="492">
        <v>8</v>
      </c>
      <c r="B171" s="523" t="s">
        <v>1354</v>
      </c>
      <c r="C171" s="1165" t="s">
        <v>1509</v>
      </c>
      <c r="D171" s="505"/>
      <c r="E171" s="1285"/>
      <c r="F171" s="1273">
        <f>SUM('[8]Újváros'!D269)</f>
        <v>200</v>
      </c>
      <c r="G171" s="506"/>
      <c r="H171" s="506"/>
      <c r="I171" s="508">
        <f>F171</f>
        <v>200</v>
      </c>
      <c r="J171" s="509">
        <v>10000</v>
      </c>
      <c r="K171" s="503"/>
      <c r="L171" s="502"/>
      <c r="M171" s="388">
        <f>I171*J171</f>
        <v>2000000</v>
      </c>
    </row>
    <row r="172" spans="1:13" s="493" customFormat="1" ht="12.75">
      <c r="A172" s="492">
        <v>8</v>
      </c>
      <c r="B172" s="526" t="s">
        <v>1354</v>
      </c>
      <c r="C172" s="1166" t="s">
        <v>878</v>
      </c>
      <c r="D172" s="514"/>
      <c r="E172" s="1286"/>
      <c r="F172" s="1272">
        <f>SUM('[8]Újváros'!D270)</f>
        <v>251</v>
      </c>
      <c r="G172" s="515"/>
      <c r="H172" s="515"/>
      <c r="I172" s="516">
        <f>F172</f>
        <v>251</v>
      </c>
      <c r="J172" s="517">
        <v>1000</v>
      </c>
      <c r="K172" s="528"/>
      <c r="L172" s="518"/>
      <c r="M172" s="519">
        <f>I172*J172</f>
        <v>251000</v>
      </c>
    </row>
    <row r="173" spans="1:13" s="493" customFormat="1" ht="14.25">
      <c r="A173" s="492"/>
      <c r="B173" s="1425" t="s">
        <v>880</v>
      </c>
      <c r="C173" s="1426"/>
      <c r="D173" s="1426"/>
      <c r="E173" s="1426"/>
      <c r="F173" s="1426"/>
      <c r="G173" s="1426"/>
      <c r="H173" s="1426"/>
      <c r="I173" s="1427"/>
      <c r="J173" s="466"/>
      <c r="K173" s="529"/>
      <c r="L173" s="530"/>
      <c r="M173" s="521">
        <f>SUM(M151:M172)</f>
        <v>68555311.1568323</v>
      </c>
    </row>
    <row r="174" spans="1:13" s="493" customFormat="1" ht="12.75">
      <c r="A174" s="493">
        <v>9</v>
      </c>
      <c r="B174" s="522" t="s">
        <v>591</v>
      </c>
      <c r="C174" s="1163" t="s">
        <v>1339</v>
      </c>
      <c r="D174" s="463"/>
      <c r="E174" s="497">
        <f>SUM('[8]II.Rákóczi'!C27)</f>
        <v>56</v>
      </c>
      <c r="F174" s="496"/>
      <c r="G174" s="497"/>
      <c r="H174" s="497"/>
      <c r="I174" s="497"/>
      <c r="J174" s="498">
        <v>2550000</v>
      </c>
      <c r="K174" s="497">
        <f>SUM('[8]II.Rákóczi segéd'!M11)</f>
        <v>5440000</v>
      </c>
      <c r="L174" s="496"/>
      <c r="M174" s="499">
        <f aca="true" t="shared" si="8" ref="M174:M192">SUM(K174:L174)</f>
        <v>5440000</v>
      </c>
    </row>
    <row r="175" spans="1:13" s="493" customFormat="1" ht="12.75">
      <c r="A175" s="493">
        <v>9</v>
      </c>
      <c r="B175" s="523" t="s">
        <v>591</v>
      </c>
      <c r="C175" s="1164" t="s">
        <v>718</v>
      </c>
      <c r="D175" s="501"/>
      <c r="E175" s="502">
        <f>SUM('[8]II.Rákóczi'!C28)</f>
        <v>114</v>
      </c>
      <c r="F175" s="503"/>
      <c r="G175" s="502"/>
      <c r="H175" s="502"/>
      <c r="I175" s="502"/>
      <c r="J175" s="504">
        <v>2550000</v>
      </c>
      <c r="K175" s="502">
        <f>SUM('[8]II.Rákóczi segéd'!M12)</f>
        <v>13908000</v>
      </c>
      <c r="L175" s="503"/>
      <c r="M175" s="388">
        <f t="shared" si="8"/>
        <v>13908000</v>
      </c>
    </row>
    <row r="176" spans="1:13" s="493" customFormat="1" ht="12.75">
      <c r="A176" s="493">
        <v>9</v>
      </c>
      <c r="B176" s="523" t="s">
        <v>591</v>
      </c>
      <c r="C176" s="1164" t="s">
        <v>1468</v>
      </c>
      <c r="D176" s="501"/>
      <c r="E176" s="502">
        <f>SUM('[8]II.Rákóczi'!C29)</f>
        <v>51</v>
      </c>
      <c r="F176" s="503"/>
      <c r="G176" s="502"/>
      <c r="H176" s="502"/>
      <c r="I176" s="502"/>
      <c r="J176" s="504">
        <v>2550000</v>
      </c>
      <c r="K176" s="502">
        <f>SUM('[8]II.Rákóczi segéd'!M13)</f>
        <v>7532062.5</v>
      </c>
      <c r="L176" s="503"/>
      <c r="M176" s="388">
        <f t="shared" si="8"/>
        <v>7532062.5</v>
      </c>
    </row>
    <row r="177" spans="1:13" s="493" customFormat="1" ht="12.75">
      <c r="A177" s="493">
        <v>9</v>
      </c>
      <c r="B177" s="523" t="s">
        <v>591</v>
      </c>
      <c r="C177" s="1164" t="s">
        <v>719</v>
      </c>
      <c r="D177" s="501"/>
      <c r="E177" s="502">
        <f>SUM('[8]II.Rákóczi'!C30)</f>
        <v>61</v>
      </c>
      <c r="F177" s="503"/>
      <c r="G177" s="502"/>
      <c r="H177" s="502"/>
      <c r="I177" s="502"/>
      <c r="J177" s="504">
        <v>2550000</v>
      </c>
      <c r="K177" s="502">
        <f>SUM('[8]II.Rákóczi segéd'!M14)</f>
        <v>6970000</v>
      </c>
      <c r="L177" s="503"/>
      <c r="M177" s="388">
        <f t="shared" si="8"/>
        <v>6970000</v>
      </c>
    </row>
    <row r="178" spans="1:13" s="493" customFormat="1" ht="12.75">
      <c r="A178" s="493">
        <v>9</v>
      </c>
      <c r="B178" s="523" t="s">
        <v>591</v>
      </c>
      <c r="C178" s="1164" t="s">
        <v>1469</v>
      </c>
      <c r="D178" s="501"/>
      <c r="E178" s="502">
        <f>SUM('[8]II.Rákóczi'!C31)</f>
        <v>74</v>
      </c>
      <c r="F178" s="503"/>
      <c r="G178" s="502"/>
      <c r="H178" s="502"/>
      <c r="I178" s="502"/>
      <c r="J178" s="504">
        <v>2550000</v>
      </c>
      <c r="K178" s="502">
        <f>SUM('[8]II.Rákóczi segéd'!M15)</f>
        <v>9749500</v>
      </c>
      <c r="L178" s="503"/>
      <c r="M178" s="388">
        <f t="shared" si="8"/>
        <v>9749500</v>
      </c>
    </row>
    <row r="179" spans="1:13" s="493" customFormat="1" ht="12.75">
      <c r="A179" s="493">
        <v>9</v>
      </c>
      <c r="B179" s="523" t="s">
        <v>591</v>
      </c>
      <c r="C179" s="1164" t="s">
        <v>1470</v>
      </c>
      <c r="D179" s="501"/>
      <c r="E179" s="502">
        <f>SUM('[8]II.Rákóczi'!C32)</f>
        <v>124</v>
      </c>
      <c r="F179" s="503"/>
      <c r="G179" s="502"/>
      <c r="H179" s="502"/>
      <c r="I179" s="502"/>
      <c r="J179" s="504">
        <v>2550000</v>
      </c>
      <c r="K179" s="502">
        <f>SUM('[8]II.Rákóczi segéd'!M16)</f>
        <v>18530000</v>
      </c>
      <c r="L179" s="503"/>
      <c r="M179" s="388">
        <f t="shared" si="8"/>
        <v>18530000</v>
      </c>
    </row>
    <row r="180" spans="1:13" s="493" customFormat="1" ht="12.75">
      <c r="A180" s="493">
        <v>9</v>
      </c>
      <c r="B180" s="523" t="s">
        <v>591</v>
      </c>
      <c r="C180" s="1164" t="s">
        <v>1471</v>
      </c>
      <c r="D180" s="504"/>
      <c r="E180" s="503"/>
      <c r="F180" s="502">
        <f>SUM('[8]II.Rákóczi'!D34)</f>
        <v>108</v>
      </c>
      <c r="G180" s="502"/>
      <c r="H180" s="502"/>
      <c r="I180" s="502"/>
      <c r="J180" s="504">
        <v>2550000</v>
      </c>
      <c r="K180" s="503"/>
      <c r="L180" s="502">
        <f>SUM('[8]II.Rákóczi segéd'!M32)</f>
        <v>5245714.285714286</v>
      </c>
      <c r="M180" s="388">
        <f t="shared" si="8"/>
        <v>5245714.285714286</v>
      </c>
    </row>
    <row r="181" spans="1:13" s="493" customFormat="1" ht="12.75">
      <c r="A181" s="493">
        <v>9</v>
      </c>
      <c r="B181" s="523" t="s">
        <v>591</v>
      </c>
      <c r="C181" s="1164" t="s">
        <v>1472</v>
      </c>
      <c r="D181" s="504"/>
      <c r="E181" s="503"/>
      <c r="F181" s="502">
        <f>SUM('[8]II.Rákóczi'!D35)</f>
        <v>61</v>
      </c>
      <c r="G181" s="502"/>
      <c r="H181" s="502"/>
      <c r="I181" s="502"/>
      <c r="J181" s="504">
        <v>2550000</v>
      </c>
      <c r="K181" s="503"/>
      <c r="L181" s="502">
        <f>SUM('[8]II.Rákóczi segéd'!M33)</f>
        <v>3721000</v>
      </c>
      <c r="M181" s="388">
        <f t="shared" si="8"/>
        <v>3721000</v>
      </c>
    </row>
    <row r="182" spans="1:13" s="493" customFormat="1" ht="12.75">
      <c r="A182" s="493">
        <v>9</v>
      </c>
      <c r="B182" s="523" t="s">
        <v>591</v>
      </c>
      <c r="C182" s="1164" t="s">
        <v>1473</v>
      </c>
      <c r="D182" s="504"/>
      <c r="E182" s="503"/>
      <c r="F182" s="502">
        <f>SUM('[8]II.Rákóczi'!D36)</f>
        <v>53</v>
      </c>
      <c r="G182" s="502"/>
      <c r="H182" s="502"/>
      <c r="I182" s="502"/>
      <c r="J182" s="504">
        <v>2550000</v>
      </c>
      <c r="K182" s="503"/>
      <c r="L182" s="502">
        <f>SUM('[8]II.Rákóczi segéd'!M34)</f>
        <v>3913718.75</v>
      </c>
      <c r="M182" s="388">
        <f t="shared" si="8"/>
        <v>3913718.75</v>
      </c>
    </row>
    <row r="183" spans="1:13" s="493" customFormat="1" ht="12.75">
      <c r="A183" s="493">
        <v>9</v>
      </c>
      <c r="B183" s="523" t="s">
        <v>591</v>
      </c>
      <c r="C183" s="1164" t="s">
        <v>1474</v>
      </c>
      <c r="D183" s="504"/>
      <c r="E183" s="503"/>
      <c r="F183" s="502">
        <f>SUM('[8]II.Rákóczi'!D37)</f>
        <v>112</v>
      </c>
      <c r="G183" s="502"/>
      <c r="H183" s="502"/>
      <c r="I183" s="502"/>
      <c r="J183" s="504">
        <v>2550000</v>
      </c>
      <c r="K183" s="503"/>
      <c r="L183" s="502">
        <f>SUM('[8]II.Rákóczi segéd'!M35)</f>
        <v>6415652.173913044</v>
      </c>
      <c r="M183" s="388">
        <f t="shared" si="8"/>
        <v>6415652.173913044</v>
      </c>
    </row>
    <row r="184" spans="1:13" s="493" customFormat="1" ht="12.75">
      <c r="A184" s="493">
        <v>9</v>
      </c>
      <c r="B184" s="523" t="s">
        <v>591</v>
      </c>
      <c r="C184" s="1164" t="s">
        <v>1476</v>
      </c>
      <c r="D184" s="504"/>
      <c r="E184" s="503"/>
      <c r="F184" s="502">
        <f>SUM('[8]II.Rákóczi'!D38)</f>
        <v>132</v>
      </c>
      <c r="G184" s="502"/>
      <c r="H184" s="502"/>
      <c r="I184" s="502"/>
      <c r="J184" s="504">
        <v>2550000</v>
      </c>
      <c r="K184" s="503"/>
      <c r="L184" s="502">
        <f>SUM('[8]II.Rákóczi segéd'!M36)</f>
        <v>9873600</v>
      </c>
      <c r="M184" s="388">
        <f t="shared" si="8"/>
        <v>9873600</v>
      </c>
    </row>
    <row r="185" spans="1:13" s="493" customFormat="1" ht="12.75">
      <c r="A185" s="492">
        <v>9</v>
      </c>
      <c r="B185" s="523" t="s">
        <v>591</v>
      </c>
      <c r="C185" s="1165" t="s">
        <v>721</v>
      </c>
      <c r="D185" s="505"/>
      <c r="E185" s="502">
        <f>SUM('[8]II.Rákóczi'!C100)</f>
        <v>156</v>
      </c>
      <c r="F185" s="510"/>
      <c r="G185" s="506"/>
      <c r="H185" s="506"/>
      <c r="I185" s="508">
        <f>E185/12*8</f>
        <v>104</v>
      </c>
      <c r="J185" s="509">
        <v>23000</v>
      </c>
      <c r="K185" s="502">
        <f>I185*J185</f>
        <v>2392000</v>
      </c>
      <c r="L185" s="503"/>
      <c r="M185" s="388">
        <f t="shared" si="8"/>
        <v>2392000</v>
      </c>
    </row>
    <row r="186" spans="1:13" s="493" customFormat="1" ht="12.75">
      <c r="A186" s="492">
        <v>9</v>
      </c>
      <c r="B186" s="523" t="s">
        <v>591</v>
      </c>
      <c r="C186" s="1167" t="s">
        <v>1475</v>
      </c>
      <c r="D186" s="104"/>
      <c r="E186" s="503"/>
      <c r="F186" s="502">
        <f>SUM('[8]II.Rákóczi'!D103)</f>
        <v>70</v>
      </c>
      <c r="G186" s="502"/>
      <c r="H186" s="502"/>
      <c r="I186" s="502"/>
      <c r="J186" s="504">
        <v>2550000</v>
      </c>
      <c r="K186" s="503"/>
      <c r="L186" s="502">
        <f>SUM('[8]II.Rákóczi segéd'!M44)</f>
        <v>595000</v>
      </c>
      <c r="M186" s="388">
        <f t="shared" si="8"/>
        <v>595000</v>
      </c>
    </row>
    <row r="187" spans="1:13" s="493" customFormat="1" ht="16.5" customHeight="1">
      <c r="A187" s="492">
        <v>9</v>
      </c>
      <c r="B187" s="523" t="s">
        <v>591</v>
      </c>
      <c r="C187" s="1167" t="s">
        <v>581</v>
      </c>
      <c r="D187" s="104"/>
      <c r="E187" s="503"/>
      <c r="F187" s="502">
        <f>SUM('[8]II.Rákóczi'!D104)</f>
        <v>8</v>
      </c>
      <c r="G187" s="502"/>
      <c r="H187" s="502"/>
      <c r="I187" s="502"/>
      <c r="J187" s="504">
        <v>2550000</v>
      </c>
      <c r="K187" s="503"/>
      <c r="L187" s="502">
        <f>SUM('[8]II.Rákóczi segéd'!M45)</f>
        <v>43520</v>
      </c>
      <c r="M187" s="388">
        <f t="shared" si="8"/>
        <v>43520</v>
      </c>
    </row>
    <row r="188" spans="1:13" s="493" customFormat="1" ht="53.25" customHeight="1">
      <c r="A188" s="492">
        <v>9</v>
      </c>
      <c r="B188" s="523" t="s">
        <v>591</v>
      </c>
      <c r="C188" s="1165" t="s">
        <v>585</v>
      </c>
      <c r="D188" s="509"/>
      <c r="E188" s="506">
        <f>SUM('[8]II.Rákóczi'!C134)</f>
        <v>1</v>
      </c>
      <c r="F188" s="506">
        <f>SUM('[8]II.Rákóczi'!D138)</f>
        <v>1</v>
      </c>
      <c r="G188" s="507">
        <f>E188*8/12</f>
        <v>0.6666666666666666</v>
      </c>
      <c r="H188" s="507">
        <f>F188*4/12</f>
        <v>0.3333333333333333</v>
      </c>
      <c r="I188" s="508">
        <f>SUM(G188:H188)</f>
        <v>1</v>
      </c>
      <c r="J188" s="509">
        <v>240000</v>
      </c>
      <c r="K188" s="502">
        <f>G188*J188</f>
        <v>160000</v>
      </c>
      <c r="L188" s="502">
        <f>H188*J188</f>
        <v>80000</v>
      </c>
      <c r="M188" s="388">
        <f t="shared" si="8"/>
        <v>240000</v>
      </c>
    </row>
    <row r="189" spans="1:13" s="493" customFormat="1" ht="51">
      <c r="A189" s="492">
        <v>9</v>
      </c>
      <c r="B189" s="523" t="s">
        <v>591</v>
      </c>
      <c r="C189" s="1165" t="s">
        <v>341</v>
      </c>
      <c r="D189" s="509"/>
      <c r="E189" s="506">
        <f>SUM('[8]II.Rákóczi'!C146)</f>
        <v>1</v>
      </c>
      <c r="F189" s="506">
        <f>SUM('[8]II.Rákóczi'!D153)</f>
        <v>1</v>
      </c>
      <c r="G189" s="507">
        <f>E189*8/12</f>
        <v>0.6666666666666666</v>
      </c>
      <c r="H189" s="507">
        <f>F189*4/12</f>
        <v>0.3333333333333333</v>
      </c>
      <c r="I189" s="508">
        <f>SUM(G189:H189)</f>
        <v>1</v>
      </c>
      <c r="J189" s="509">
        <v>384000</v>
      </c>
      <c r="K189" s="502">
        <f>G189*J189</f>
        <v>256000</v>
      </c>
      <c r="L189" s="502">
        <f>H189*J189</f>
        <v>128000</v>
      </c>
      <c r="M189" s="388">
        <f t="shared" si="8"/>
        <v>384000</v>
      </c>
    </row>
    <row r="190" spans="1:13" s="493" customFormat="1" ht="51">
      <c r="A190" s="492">
        <v>9</v>
      </c>
      <c r="B190" s="523" t="s">
        <v>591</v>
      </c>
      <c r="C190" s="1165" t="s">
        <v>716</v>
      </c>
      <c r="D190" s="509"/>
      <c r="E190" s="506">
        <f>SUM('[8]II.Rákóczi'!C159)</f>
        <v>29</v>
      </c>
      <c r="F190" s="503"/>
      <c r="G190" s="507">
        <f>E190*8/12</f>
        <v>19.333333333333332</v>
      </c>
      <c r="H190" s="511"/>
      <c r="I190" s="508">
        <f>SUM(G190:H190)</f>
        <v>19.333333333333332</v>
      </c>
      <c r="J190" s="509">
        <v>192000</v>
      </c>
      <c r="K190" s="502">
        <f>G190*J190</f>
        <v>3712000</v>
      </c>
      <c r="L190" s="503"/>
      <c r="M190" s="388">
        <f t="shared" si="8"/>
        <v>3712000</v>
      </c>
    </row>
    <row r="191" spans="1:13" s="493" customFormat="1" ht="40.5" customHeight="1">
      <c r="A191" s="492">
        <v>9</v>
      </c>
      <c r="B191" s="523" t="s">
        <v>591</v>
      </c>
      <c r="C191" s="1165" t="s">
        <v>1336</v>
      </c>
      <c r="D191" s="505"/>
      <c r="E191" s="510"/>
      <c r="F191" s="506">
        <f>SUM('[8]II.Rákóczi'!D165)</f>
        <v>6</v>
      </c>
      <c r="G191" s="506"/>
      <c r="H191" s="507">
        <f>F191*4/12</f>
        <v>2</v>
      </c>
      <c r="I191" s="508">
        <f>SUM(G191:H191)</f>
        <v>2</v>
      </c>
      <c r="J191" s="509">
        <v>192000</v>
      </c>
      <c r="K191" s="510"/>
      <c r="L191" s="502">
        <f>H191*J191</f>
        <v>384000</v>
      </c>
      <c r="M191" s="388">
        <f t="shared" si="8"/>
        <v>384000</v>
      </c>
    </row>
    <row r="192" spans="1:13" s="493" customFormat="1" ht="38.25">
      <c r="A192" s="492">
        <v>9</v>
      </c>
      <c r="B192" s="523" t="s">
        <v>591</v>
      </c>
      <c r="C192" s="1165" t="s">
        <v>1337</v>
      </c>
      <c r="D192" s="505"/>
      <c r="E192" s="510"/>
      <c r="F192" s="506">
        <f>SUM('[8]II.Rákóczi'!D171)</f>
        <v>18</v>
      </c>
      <c r="G192" s="506"/>
      <c r="H192" s="507">
        <f>F192*4/12</f>
        <v>6</v>
      </c>
      <c r="I192" s="508">
        <f>SUM(G192:H192)</f>
        <v>6</v>
      </c>
      <c r="J192" s="509">
        <v>144000</v>
      </c>
      <c r="K192" s="510"/>
      <c r="L192" s="506">
        <f>I192*J192</f>
        <v>864000</v>
      </c>
      <c r="M192" s="388">
        <f t="shared" si="8"/>
        <v>864000</v>
      </c>
    </row>
    <row r="193" spans="1:13" s="493" customFormat="1" ht="25.5">
      <c r="A193" s="492">
        <v>9</v>
      </c>
      <c r="B193" s="523" t="s">
        <v>591</v>
      </c>
      <c r="C193" s="1165" t="s">
        <v>1508</v>
      </c>
      <c r="D193" s="505"/>
      <c r="E193" s="1273">
        <f>SUM('[8]II.Rákóczi'!C258)</f>
        <v>113</v>
      </c>
      <c r="F193" s="1273">
        <f>SUM('[8]II.Rákóczi'!D264)</f>
        <v>0</v>
      </c>
      <c r="G193" s="506"/>
      <c r="H193" s="506"/>
      <c r="I193" s="508">
        <f>SUM(E193:F193)</f>
        <v>113</v>
      </c>
      <c r="J193" s="509">
        <v>55000</v>
      </c>
      <c r="K193" s="502"/>
      <c r="L193" s="502"/>
      <c r="M193" s="388">
        <f>I193*J193</f>
        <v>6215000</v>
      </c>
    </row>
    <row r="194" spans="1:13" s="493" customFormat="1" ht="38.25">
      <c r="A194" s="492">
        <v>9</v>
      </c>
      <c r="B194" s="523" t="s">
        <v>591</v>
      </c>
      <c r="C194" s="1165" t="s">
        <v>586</v>
      </c>
      <c r="D194" s="505"/>
      <c r="E194" s="1274"/>
      <c r="F194" s="1273">
        <f>SUM('[8]II.Rákóczi'!D267)</f>
        <v>6</v>
      </c>
      <c r="G194" s="525"/>
      <c r="H194" s="525"/>
      <c r="I194" s="508">
        <f>F194</f>
        <v>6</v>
      </c>
      <c r="J194" s="509">
        <v>16000</v>
      </c>
      <c r="K194" s="502"/>
      <c r="L194" s="502"/>
      <c r="M194" s="388">
        <f>I194*J194</f>
        <v>96000</v>
      </c>
    </row>
    <row r="195" spans="1:13" s="493" customFormat="1" ht="12.75">
      <c r="A195" s="492">
        <v>9</v>
      </c>
      <c r="B195" s="523" t="s">
        <v>591</v>
      </c>
      <c r="C195" s="1165" t="s">
        <v>1509</v>
      </c>
      <c r="D195" s="505"/>
      <c r="E195" s="1285"/>
      <c r="F195" s="1273">
        <f>SUM('[8]II.Rákóczi'!D269)</f>
        <v>142</v>
      </c>
      <c r="G195" s="506"/>
      <c r="H195" s="506"/>
      <c r="I195" s="508">
        <f>F195</f>
        <v>142</v>
      </c>
      <c r="J195" s="509">
        <v>10000</v>
      </c>
      <c r="K195" s="503"/>
      <c r="L195" s="502"/>
      <c r="M195" s="388">
        <f>I195*J195</f>
        <v>1420000</v>
      </c>
    </row>
    <row r="196" spans="1:13" s="493" customFormat="1" ht="12.75">
      <c r="A196" s="492">
        <v>9</v>
      </c>
      <c r="B196" s="526" t="s">
        <v>591</v>
      </c>
      <c r="C196" s="1166" t="s">
        <v>878</v>
      </c>
      <c r="D196" s="514"/>
      <c r="E196" s="1286"/>
      <c r="F196" s="1272">
        <f>SUM('[8]II.Rákóczi'!D270)</f>
        <v>466</v>
      </c>
      <c r="G196" s="515"/>
      <c r="H196" s="515"/>
      <c r="I196" s="516">
        <f>F196</f>
        <v>466</v>
      </c>
      <c r="J196" s="517">
        <v>1000</v>
      </c>
      <c r="K196" s="528"/>
      <c r="L196" s="518"/>
      <c r="M196" s="519">
        <f>I196*J196</f>
        <v>466000</v>
      </c>
    </row>
    <row r="197" spans="1:13" s="493" customFormat="1" ht="14.25">
      <c r="A197" s="492"/>
      <c r="B197" s="1425" t="s">
        <v>592</v>
      </c>
      <c r="C197" s="1426"/>
      <c r="D197" s="1426"/>
      <c r="E197" s="1426"/>
      <c r="F197" s="1426"/>
      <c r="G197" s="1426"/>
      <c r="H197" s="1426"/>
      <c r="I197" s="1427"/>
      <c r="J197" s="583"/>
      <c r="K197" s="1361"/>
      <c r="L197" s="1360"/>
      <c r="M197" s="1284">
        <f>SUM(M174:M196)</f>
        <v>108110767.70962733</v>
      </c>
    </row>
    <row r="198" spans="1:13" s="493" customFormat="1" ht="25.5">
      <c r="A198" s="493">
        <v>10</v>
      </c>
      <c r="B198" s="554" t="s">
        <v>1542</v>
      </c>
      <c r="C198" s="1163" t="s">
        <v>1339</v>
      </c>
      <c r="D198" s="463"/>
      <c r="E198" s="497">
        <f>SUM('[8]Szanda'!C27)</f>
        <v>81</v>
      </c>
      <c r="F198" s="496"/>
      <c r="G198" s="497"/>
      <c r="H198" s="497"/>
      <c r="I198" s="497"/>
      <c r="J198" s="498">
        <v>2550000</v>
      </c>
      <c r="K198" s="497">
        <f>SUM('[8]Szanda segéd'!M11)</f>
        <v>7820000</v>
      </c>
      <c r="L198" s="496"/>
      <c r="M198" s="499">
        <f aca="true" t="shared" si="9" ref="M198:M222">SUM(K198:L198)</f>
        <v>7820000</v>
      </c>
    </row>
    <row r="199" spans="1:13" s="493" customFormat="1" ht="25.5">
      <c r="A199" s="493">
        <v>10</v>
      </c>
      <c r="B199" s="1053" t="s">
        <v>1542</v>
      </c>
      <c r="C199" s="1164" t="s">
        <v>718</v>
      </c>
      <c r="D199" s="501"/>
      <c r="E199" s="502">
        <f>SUM('[8]Szanda'!C28)</f>
        <v>159</v>
      </c>
      <c r="F199" s="503"/>
      <c r="G199" s="502"/>
      <c r="H199" s="502"/>
      <c r="I199" s="502"/>
      <c r="J199" s="504">
        <v>2550000</v>
      </c>
      <c r="K199" s="502">
        <f>SUM('[8]Szanda segéd'!M12)</f>
        <v>19398000</v>
      </c>
      <c r="L199" s="503"/>
      <c r="M199" s="388">
        <f t="shared" si="9"/>
        <v>19398000</v>
      </c>
    </row>
    <row r="200" spans="1:13" s="493" customFormat="1" ht="25.5">
      <c r="A200" s="493">
        <v>10</v>
      </c>
      <c r="B200" s="1053" t="s">
        <v>1542</v>
      </c>
      <c r="C200" s="1164" t="s">
        <v>1468</v>
      </c>
      <c r="D200" s="501"/>
      <c r="E200" s="502">
        <f>SUM('[8]Szanda'!C29)</f>
        <v>84</v>
      </c>
      <c r="F200" s="503"/>
      <c r="G200" s="502"/>
      <c r="H200" s="502"/>
      <c r="I200" s="502"/>
      <c r="J200" s="504">
        <v>2550000</v>
      </c>
      <c r="K200" s="502">
        <f>SUM('[8]Szanda segéd'!M13)</f>
        <v>12405750</v>
      </c>
      <c r="L200" s="503"/>
      <c r="M200" s="388">
        <f t="shared" si="9"/>
        <v>12405750</v>
      </c>
    </row>
    <row r="201" spans="1:13" s="493" customFormat="1" ht="25.5">
      <c r="A201" s="493">
        <v>10</v>
      </c>
      <c r="B201" s="1053" t="s">
        <v>1542</v>
      </c>
      <c r="C201" s="1164" t="s">
        <v>719</v>
      </c>
      <c r="D201" s="501"/>
      <c r="E201" s="502">
        <f>SUM('[8]Szanda'!C30)</f>
        <v>90</v>
      </c>
      <c r="F201" s="503"/>
      <c r="G201" s="502"/>
      <c r="H201" s="502"/>
      <c r="I201" s="502"/>
      <c r="J201" s="504">
        <v>2550000</v>
      </c>
      <c r="K201" s="502">
        <f>SUM('[8]Szanda segéd'!M14)</f>
        <v>10370000</v>
      </c>
      <c r="L201" s="503"/>
      <c r="M201" s="388">
        <f t="shared" si="9"/>
        <v>10370000</v>
      </c>
    </row>
    <row r="202" spans="1:13" s="493" customFormat="1" ht="25.5">
      <c r="A202" s="493">
        <v>10</v>
      </c>
      <c r="B202" s="1053" t="s">
        <v>1542</v>
      </c>
      <c r="C202" s="1164" t="s">
        <v>1469</v>
      </c>
      <c r="D202" s="501"/>
      <c r="E202" s="502">
        <f>SUM('[8]Szanda'!C31)</f>
        <v>111</v>
      </c>
      <c r="F202" s="503"/>
      <c r="G202" s="502"/>
      <c r="H202" s="502"/>
      <c r="I202" s="502"/>
      <c r="J202" s="504">
        <v>2550000</v>
      </c>
      <c r="K202" s="502">
        <f>SUM('[8]Szanda segéd'!M15)</f>
        <v>14624249.999999998</v>
      </c>
      <c r="L202" s="503"/>
      <c r="M202" s="388">
        <f t="shared" si="9"/>
        <v>14624249.999999998</v>
      </c>
    </row>
    <row r="203" spans="1:13" s="493" customFormat="1" ht="25.5">
      <c r="A203" s="493">
        <v>10</v>
      </c>
      <c r="B203" s="1053" t="s">
        <v>1542</v>
      </c>
      <c r="C203" s="1164" t="s">
        <v>1470</v>
      </c>
      <c r="D203" s="501"/>
      <c r="E203" s="502">
        <f>SUM('[8]Szanda'!C32)</f>
        <v>187</v>
      </c>
      <c r="F203" s="503"/>
      <c r="G203" s="502"/>
      <c r="H203" s="502"/>
      <c r="I203" s="502"/>
      <c r="J203" s="504">
        <v>2550000</v>
      </c>
      <c r="K203" s="502">
        <f>SUM('[8]Szanda segéd'!M16)</f>
        <v>28050000</v>
      </c>
      <c r="L203" s="503"/>
      <c r="M203" s="388">
        <f t="shared" si="9"/>
        <v>28050000</v>
      </c>
    </row>
    <row r="204" spans="1:13" s="493" customFormat="1" ht="25.5">
      <c r="A204" s="493">
        <v>10</v>
      </c>
      <c r="B204" s="1053" t="s">
        <v>1542</v>
      </c>
      <c r="C204" s="1164" t="s">
        <v>1471</v>
      </c>
      <c r="D204" s="504"/>
      <c r="E204" s="503"/>
      <c r="F204" s="502">
        <f>SUM('[8]Szanda'!D34)</f>
        <v>145</v>
      </c>
      <c r="G204" s="502"/>
      <c r="H204" s="502"/>
      <c r="I204" s="502"/>
      <c r="J204" s="504">
        <v>2550000</v>
      </c>
      <c r="K204" s="503"/>
      <c r="L204" s="502">
        <f>SUM('[8]Szanda segéd'!M32)</f>
        <v>7042857.142857143</v>
      </c>
      <c r="M204" s="388">
        <f t="shared" si="9"/>
        <v>7042857.142857143</v>
      </c>
    </row>
    <row r="205" spans="1:13" s="493" customFormat="1" ht="25.5">
      <c r="A205" s="493">
        <v>10</v>
      </c>
      <c r="B205" s="1053" t="s">
        <v>1542</v>
      </c>
      <c r="C205" s="1164" t="s">
        <v>1472</v>
      </c>
      <c r="D205" s="504"/>
      <c r="E205" s="503"/>
      <c r="F205" s="502">
        <f>SUM('[8]Szanda'!D35)</f>
        <v>79</v>
      </c>
      <c r="G205" s="502"/>
      <c r="H205" s="502"/>
      <c r="I205" s="502"/>
      <c r="J205" s="504">
        <v>2550000</v>
      </c>
      <c r="K205" s="503"/>
      <c r="L205" s="502">
        <f>SUM('[8]Szanda segéd'!M33)</f>
        <v>4819000.000000001</v>
      </c>
      <c r="M205" s="388">
        <f t="shared" si="9"/>
        <v>4819000.000000001</v>
      </c>
    </row>
    <row r="206" spans="1:13" s="493" customFormat="1" ht="25.5">
      <c r="A206" s="493">
        <v>10</v>
      </c>
      <c r="B206" s="1053" t="s">
        <v>1542</v>
      </c>
      <c r="C206" s="1164" t="s">
        <v>1473</v>
      </c>
      <c r="D206" s="504"/>
      <c r="E206" s="503"/>
      <c r="F206" s="502">
        <f>SUM('[8]Szanda'!D36)</f>
        <v>81</v>
      </c>
      <c r="G206" s="502"/>
      <c r="H206" s="502"/>
      <c r="I206" s="502"/>
      <c r="J206" s="504">
        <v>2550000</v>
      </c>
      <c r="K206" s="503"/>
      <c r="L206" s="502">
        <f>SUM('[8]Szanda segéd'!M34)</f>
        <v>5981343.75</v>
      </c>
      <c r="M206" s="388">
        <f t="shared" si="9"/>
        <v>5981343.75</v>
      </c>
    </row>
    <row r="207" spans="1:13" s="493" customFormat="1" ht="25.5">
      <c r="A207" s="493">
        <v>10</v>
      </c>
      <c r="B207" s="1053" t="s">
        <v>1542</v>
      </c>
      <c r="C207" s="1164" t="s">
        <v>1474</v>
      </c>
      <c r="D207" s="504"/>
      <c r="E207" s="503"/>
      <c r="F207" s="502">
        <f>SUM('[8]Szanda'!D37)</f>
        <v>175</v>
      </c>
      <c r="G207" s="502"/>
      <c r="H207" s="502"/>
      <c r="I207" s="502"/>
      <c r="J207" s="504">
        <v>2550000</v>
      </c>
      <c r="K207" s="503"/>
      <c r="L207" s="502">
        <f>SUM('[8]Szanda segéd'!M35)</f>
        <v>10024456.52173913</v>
      </c>
      <c r="M207" s="388">
        <f t="shared" si="9"/>
        <v>10024456.52173913</v>
      </c>
    </row>
    <row r="208" spans="1:13" s="493" customFormat="1" ht="25.5">
      <c r="A208" s="493">
        <v>10</v>
      </c>
      <c r="B208" s="1053" t="s">
        <v>1542</v>
      </c>
      <c r="C208" s="1164" t="s">
        <v>1476</v>
      </c>
      <c r="D208" s="504"/>
      <c r="E208" s="503"/>
      <c r="F208" s="502">
        <f>SUM('[8]Szanda'!D38)</f>
        <v>220</v>
      </c>
      <c r="G208" s="502"/>
      <c r="H208" s="502"/>
      <c r="I208" s="502"/>
      <c r="J208" s="504">
        <v>2550000</v>
      </c>
      <c r="K208" s="503"/>
      <c r="L208" s="502">
        <f>SUM('[8]Szanda segéd'!M36)</f>
        <v>16456000</v>
      </c>
      <c r="M208" s="388">
        <f t="shared" si="9"/>
        <v>16456000</v>
      </c>
    </row>
    <row r="209" spans="1:13" s="493" customFormat="1" ht="25.5">
      <c r="A209" s="492">
        <v>10</v>
      </c>
      <c r="B209" s="1053" t="s">
        <v>1542</v>
      </c>
      <c r="C209" s="1165" t="s">
        <v>579</v>
      </c>
      <c r="D209" s="509"/>
      <c r="E209" s="506">
        <f>SUM('[8]Szanda'!C66)</f>
        <v>226.4</v>
      </c>
      <c r="F209" s="510"/>
      <c r="G209" s="507">
        <f>E209*8/12</f>
        <v>150.93333333333334</v>
      </c>
      <c r="H209" s="506"/>
      <c r="I209" s="512">
        <f>SUM(G209:H209)</f>
        <v>150.93333333333334</v>
      </c>
      <c r="J209" s="509">
        <v>40000</v>
      </c>
      <c r="K209" s="502">
        <f>J209*I209</f>
        <v>6037333.333333333</v>
      </c>
      <c r="L209" s="503"/>
      <c r="M209" s="388">
        <f t="shared" si="9"/>
        <v>6037333.333333333</v>
      </c>
    </row>
    <row r="210" spans="1:13" s="493" customFormat="1" ht="25.5">
      <c r="A210" s="492">
        <v>10</v>
      </c>
      <c r="B210" s="1053" t="s">
        <v>1542</v>
      </c>
      <c r="C210" s="1165" t="s">
        <v>580</v>
      </c>
      <c r="D210" s="104"/>
      <c r="E210" s="503"/>
      <c r="F210" s="506">
        <f>SUM('[8]Szanda'!D74)</f>
        <v>217.8</v>
      </c>
      <c r="G210" s="502"/>
      <c r="H210" s="502"/>
      <c r="I210" s="1271">
        <f>F210</f>
        <v>217.8</v>
      </c>
      <c r="J210" s="504">
        <v>2500000</v>
      </c>
      <c r="K210" s="503"/>
      <c r="L210" s="502">
        <f>SUM('[8]Szanda segéd'!M42)</f>
        <v>1481040</v>
      </c>
      <c r="M210" s="388">
        <f t="shared" si="9"/>
        <v>1481040</v>
      </c>
    </row>
    <row r="211" spans="1:13" s="493" customFormat="1" ht="25.5">
      <c r="A211" s="492">
        <v>10</v>
      </c>
      <c r="B211" s="1053" t="s">
        <v>1542</v>
      </c>
      <c r="C211" s="1165" t="s">
        <v>721</v>
      </c>
      <c r="D211" s="505"/>
      <c r="E211" s="502">
        <f>SUM('[8]Szanda'!C100)</f>
        <v>28.66</v>
      </c>
      <c r="F211" s="510"/>
      <c r="G211" s="506"/>
      <c r="H211" s="506"/>
      <c r="I211" s="508">
        <f>E211/12*8</f>
        <v>19.106666666666666</v>
      </c>
      <c r="J211" s="509">
        <v>23000</v>
      </c>
      <c r="K211" s="502">
        <f>I211*J211</f>
        <v>439453.3333333333</v>
      </c>
      <c r="L211" s="503"/>
      <c r="M211" s="388">
        <f t="shared" si="9"/>
        <v>439453.3333333333</v>
      </c>
    </row>
    <row r="212" spans="1:13" s="493" customFormat="1" ht="25.5">
      <c r="A212" s="492">
        <v>10</v>
      </c>
      <c r="B212" s="1053" t="s">
        <v>1542</v>
      </c>
      <c r="C212" s="1165" t="s">
        <v>382</v>
      </c>
      <c r="D212" s="505"/>
      <c r="E212" s="502">
        <f>SUM('[8]Szanda'!C101)</f>
        <v>323</v>
      </c>
      <c r="F212" s="510"/>
      <c r="G212" s="502">
        <f>E212*8/12</f>
        <v>215.33333333333334</v>
      </c>
      <c r="H212" s="502">
        <f>F212*4/12</f>
        <v>0</v>
      </c>
      <c r="I212" s="512">
        <f>SUM(G212:H212)</f>
        <v>215.33333333333334</v>
      </c>
      <c r="J212" s="509">
        <v>32200</v>
      </c>
      <c r="K212" s="502">
        <f>J212*I212</f>
        <v>6933733.333333334</v>
      </c>
      <c r="L212" s="503"/>
      <c r="M212" s="388">
        <f t="shared" si="9"/>
        <v>6933733.333333334</v>
      </c>
    </row>
    <row r="213" spans="1:13" s="493" customFormat="1" ht="25.5">
      <c r="A213" s="492">
        <v>10</v>
      </c>
      <c r="B213" s="1053" t="s">
        <v>1542</v>
      </c>
      <c r="C213" s="1167" t="s">
        <v>581</v>
      </c>
      <c r="D213" s="104"/>
      <c r="E213" s="503"/>
      <c r="F213" s="502">
        <f>SUM('[8]Szanda'!D104)</f>
        <v>13</v>
      </c>
      <c r="G213" s="502"/>
      <c r="H213" s="502"/>
      <c r="I213" s="502"/>
      <c r="J213" s="504">
        <v>2550000</v>
      </c>
      <c r="K213" s="503"/>
      <c r="L213" s="502">
        <f>SUM('[8]Szanda segéd'!M45)</f>
        <v>70720.00000000001</v>
      </c>
      <c r="M213" s="388">
        <f t="shared" si="9"/>
        <v>70720.00000000001</v>
      </c>
    </row>
    <row r="214" spans="1:13" s="493" customFormat="1" ht="25.5">
      <c r="A214" s="492">
        <v>10</v>
      </c>
      <c r="B214" s="1053" t="s">
        <v>1542</v>
      </c>
      <c r="C214" s="1167" t="s">
        <v>582</v>
      </c>
      <c r="D214" s="104"/>
      <c r="E214" s="503"/>
      <c r="F214" s="502">
        <f>SUM('[8]Szanda'!D105)</f>
        <v>144</v>
      </c>
      <c r="G214" s="502"/>
      <c r="H214" s="502"/>
      <c r="I214" s="502"/>
      <c r="J214" s="504">
        <v>2550000</v>
      </c>
      <c r="K214" s="503"/>
      <c r="L214" s="502">
        <f>SUM('[8]Szanda segéd'!M46)</f>
        <v>1573714.2857142857</v>
      </c>
      <c r="M214" s="388">
        <f t="shared" si="9"/>
        <v>1573714.2857142857</v>
      </c>
    </row>
    <row r="215" spans="1:13" s="493" customFormat="1" ht="25.5">
      <c r="A215" s="492">
        <v>10</v>
      </c>
      <c r="B215" s="1053" t="s">
        <v>1542</v>
      </c>
      <c r="C215" s="1167" t="s">
        <v>583</v>
      </c>
      <c r="D215" s="104"/>
      <c r="E215" s="503"/>
      <c r="F215" s="502">
        <f>SUM('[8]Szanda'!D106)</f>
        <v>78</v>
      </c>
      <c r="G215" s="502"/>
      <c r="H215" s="502"/>
      <c r="I215" s="502"/>
      <c r="J215" s="504">
        <v>2550000</v>
      </c>
      <c r="K215" s="503"/>
      <c r="L215" s="502">
        <f>SUM('[8]Szanda segéd'!M47)</f>
        <v>1020000</v>
      </c>
      <c r="M215" s="388">
        <f t="shared" si="9"/>
        <v>1020000</v>
      </c>
    </row>
    <row r="216" spans="1:13" s="493" customFormat="1" ht="25.5">
      <c r="A216" s="492">
        <v>10</v>
      </c>
      <c r="B216" s="1053" t="s">
        <v>1542</v>
      </c>
      <c r="C216" s="1167" t="s">
        <v>584</v>
      </c>
      <c r="D216" s="104"/>
      <c r="E216" s="503"/>
      <c r="F216" s="502">
        <f>SUM('[8]Szanda'!D107)</f>
        <v>80</v>
      </c>
      <c r="G216" s="502"/>
      <c r="H216" s="502"/>
      <c r="I216" s="502"/>
      <c r="J216" s="504">
        <v>2550000</v>
      </c>
      <c r="K216" s="503"/>
      <c r="L216" s="502">
        <f>SUM('[8]Szanda segéd'!M48)</f>
        <v>1190000</v>
      </c>
      <c r="M216" s="388">
        <f t="shared" si="9"/>
        <v>1190000</v>
      </c>
    </row>
    <row r="217" spans="1:13" s="493" customFormat="1" ht="52.5" customHeight="1">
      <c r="A217" s="492">
        <v>10</v>
      </c>
      <c r="B217" s="1053" t="s">
        <v>1542</v>
      </c>
      <c r="C217" s="1165" t="s">
        <v>585</v>
      </c>
      <c r="D217" s="509"/>
      <c r="E217" s="506">
        <f>SUM('[8]Szanda'!C134)</f>
        <v>1</v>
      </c>
      <c r="F217" s="506">
        <f>SUM('[8]Szanda'!D138)</f>
        <v>0</v>
      </c>
      <c r="G217" s="507">
        <f>E217*8/12</f>
        <v>0.6666666666666666</v>
      </c>
      <c r="H217" s="507">
        <f>F217*4/12</f>
        <v>0</v>
      </c>
      <c r="I217" s="508">
        <f aca="true" t="shared" si="10" ref="I217:I222">SUM(G217:H217)</f>
        <v>0.6666666666666666</v>
      </c>
      <c r="J217" s="509">
        <v>240000</v>
      </c>
      <c r="K217" s="502">
        <f>G217*J217</f>
        <v>160000</v>
      </c>
      <c r="L217" s="502">
        <f>H217*J217</f>
        <v>0</v>
      </c>
      <c r="M217" s="388">
        <f t="shared" si="9"/>
        <v>160000</v>
      </c>
    </row>
    <row r="218" spans="1:13" s="493" customFormat="1" ht="51">
      <c r="A218" s="492">
        <v>10</v>
      </c>
      <c r="B218" s="1053" t="s">
        <v>1542</v>
      </c>
      <c r="C218" s="1165" t="s">
        <v>341</v>
      </c>
      <c r="D218" s="509"/>
      <c r="E218" s="506">
        <f>SUM('[8]Szanda'!C146)</f>
        <v>4</v>
      </c>
      <c r="F218" s="506">
        <f>SUM('[8]Szanda'!D153)</f>
        <v>3</v>
      </c>
      <c r="G218" s="507">
        <f>E218*8/12</f>
        <v>2.6666666666666665</v>
      </c>
      <c r="H218" s="507">
        <f>F218*4/12</f>
        <v>1</v>
      </c>
      <c r="I218" s="508">
        <f t="shared" si="10"/>
        <v>3.6666666666666665</v>
      </c>
      <c r="J218" s="509">
        <v>384000</v>
      </c>
      <c r="K218" s="502">
        <f>G218*J218</f>
        <v>1024000</v>
      </c>
      <c r="L218" s="502">
        <f>H218*J218</f>
        <v>384000</v>
      </c>
      <c r="M218" s="388">
        <f t="shared" si="9"/>
        <v>1408000</v>
      </c>
    </row>
    <row r="219" spans="1:13" s="493" customFormat="1" ht="51">
      <c r="A219" s="492">
        <v>10</v>
      </c>
      <c r="B219" s="1053" t="s">
        <v>1542</v>
      </c>
      <c r="C219" s="1165" t="s">
        <v>716</v>
      </c>
      <c r="D219" s="509"/>
      <c r="E219" s="506">
        <f>SUM('[8]Szanda'!C159)</f>
        <v>45</v>
      </c>
      <c r="F219" s="503"/>
      <c r="G219" s="507">
        <f>E219*8/12</f>
        <v>30</v>
      </c>
      <c r="H219" s="511"/>
      <c r="I219" s="508">
        <f t="shared" si="10"/>
        <v>30</v>
      </c>
      <c r="J219" s="509">
        <v>192000</v>
      </c>
      <c r="K219" s="502">
        <f>G219*J219</f>
        <v>5760000</v>
      </c>
      <c r="L219" s="503"/>
      <c r="M219" s="388">
        <f t="shared" si="9"/>
        <v>5760000</v>
      </c>
    </row>
    <row r="220" spans="1:13" s="493" customFormat="1" ht="41.25" customHeight="1">
      <c r="A220" s="492">
        <v>10</v>
      </c>
      <c r="B220" s="1053" t="s">
        <v>1542</v>
      </c>
      <c r="C220" s="1165" t="s">
        <v>1336</v>
      </c>
      <c r="D220" s="505"/>
      <c r="E220" s="510"/>
      <c r="F220" s="506">
        <f>SUM('[8]Szanda'!D165)</f>
        <v>2</v>
      </c>
      <c r="G220" s="506"/>
      <c r="H220" s="507">
        <f>F220*4/12</f>
        <v>0.6666666666666666</v>
      </c>
      <c r="I220" s="508">
        <f t="shared" si="10"/>
        <v>0.6666666666666666</v>
      </c>
      <c r="J220" s="509">
        <v>192000</v>
      </c>
      <c r="K220" s="510"/>
      <c r="L220" s="502">
        <f>H220*J220</f>
        <v>128000</v>
      </c>
      <c r="M220" s="388">
        <f t="shared" si="9"/>
        <v>128000</v>
      </c>
    </row>
    <row r="221" spans="1:13" s="493" customFormat="1" ht="38.25">
      <c r="A221" s="492">
        <v>10</v>
      </c>
      <c r="B221" s="1053" t="s">
        <v>1542</v>
      </c>
      <c r="C221" s="1165" t="s">
        <v>1337</v>
      </c>
      <c r="D221" s="505"/>
      <c r="E221" s="510"/>
      <c r="F221" s="506">
        <f>SUM('[8]Szanda'!D171)</f>
        <v>19</v>
      </c>
      <c r="G221" s="506"/>
      <c r="H221" s="507">
        <f>F221*4/12</f>
        <v>6.333333333333333</v>
      </c>
      <c r="I221" s="508">
        <f t="shared" si="10"/>
        <v>6.333333333333333</v>
      </c>
      <c r="J221" s="509">
        <v>144000</v>
      </c>
      <c r="K221" s="510"/>
      <c r="L221" s="506">
        <f>I221*J221</f>
        <v>912000</v>
      </c>
      <c r="M221" s="388">
        <f t="shared" si="9"/>
        <v>912000</v>
      </c>
    </row>
    <row r="222" spans="1:13" s="493" customFormat="1" ht="38.25">
      <c r="A222" s="492">
        <v>10</v>
      </c>
      <c r="B222" s="1053" t="s">
        <v>1542</v>
      </c>
      <c r="C222" s="1165" t="s">
        <v>725</v>
      </c>
      <c r="D222" s="970"/>
      <c r="E222" s="524"/>
      <c r="F222" s="512">
        <f>'[8]Szanda'!D75</f>
        <v>217.8</v>
      </c>
      <c r="G222" s="524"/>
      <c r="H222" s="502">
        <f>F222*4/12</f>
        <v>72.60000000000001</v>
      </c>
      <c r="I222" s="512">
        <f t="shared" si="10"/>
        <v>72.60000000000001</v>
      </c>
      <c r="J222" s="504">
        <v>20000</v>
      </c>
      <c r="K222" s="502">
        <f>G222*J222</f>
        <v>0</v>
      </c>
      <c r="L222" s="502">
        <f>H222*J222</f>
        <v>1452000.0000000002</v>
      </c>
      <c r="M222" s="388">
        <f t="shared" si="9"/>
        <v>1452000.0000000002</v>
      </c>
    </row>
    <row r="223" spans="1:13" s="493" customFormat="1" ht="25.5">
      <c r="A223" s="492">
        <v>10</v>
      </c>
      <c r="B223" s="1053" t="s">
        <v>1542</v>
      </c>
      <c r="C223" s="1165" t="s">
        <v>1508</v>
      </c>
      <c r="D223" s="505"/>
      <c r="E223" s="1273">
        <f>SUM('[8]Szanda'!C258)</f>
        <v>197</v>
      </c>
      <c r="F223" s="1273">
        <f>SUM('[8]Szanda'!D264)</f>
        <v>0</v>
      </c>
      <c r="G223" s="506"/>
      <c r="H223" s="506"/>
      <c r="I223" s="508">
        <f>SUM(E223:F223)</f>
        <v>197</v>
      </c>
      <c r="J223" s="509">
        <v>55000</v>
      </c>
      <c r="K223" s="502"/>
      <c r="L223" s="502"/>
      <c r="M223" s="388">
        <f>I223*J223</f>
        <v>10835000</v>
      </c>
    </row>
    <row r="224" spans="1:13" s="493" customFormat="1" ht="38.25">
      <c r="A224" s="492">
        <v>10</v>
      </c>
      <c r="B224" s="1053" t="s">
        <v>1542</v>
      </c>
      <c r="C224" s="1165" t="s">
        <v>586</v>
      </c>
      <c r="D224" s="505"/>
      <c r="E224" s="1274"/>
      <c r="F224" s="1273">
        <f>SUM('[8]Szanda'!D267)</f>
        <v>8</v>
      </c>
      <c r="G224" s="525"/>
      <c r="H224" s="525"/>
      <c r="I224" s="508">
        <f>F224</f>
        <v>8</v>
      </c>
      <c r="J224" s="509">
        <v>16000</v>
      </c>
      <c r="K224" s="502"/>
      <c r="L224" s="502"/>
      <c r="M224" s="388">
        <f>I224*J224</f>
        <v>128000</v>
      </c>
    </row>
    <row r="225" spans="1:13" s="493" customFormat="1" ht="25.5">
      <c r="A225" s="492">
        <v>10</v>
      </c>
      <c r="B225" s="1053" t="s">
        <v>1542</v>
      </c>
      <c r="C225" s="1165" t="s">
        <v>1509</v>
      </c>
      <c r="D225" s="505"/>
      <c r="E225" s="1285"/>
      <c r="F225" s="1273">
        <f>SUM('[8]Szanda'!D269)</f>
        <v>265</v>
      </c>
      <c r="G225" s="506"/>
      <c r="H225" s="506"/>
      <c r="I225" s="508">
        <f>F225</f>
        <v>265</v>
      </c>
      <c r="J225" s="509">
        <v>10000</v>
      </c>
      <c r="K225" s="503"/>
      <c r="L225" s="502"/>
      <c r="M225" s="388">
        <f>I225*J225</f>
        <v>2650000</v>
      </c>
    </row>
    <row r="226" spans="1:13" s="493" customFormat="1" ht="25.5">
      <c r="A226" s="492">
        <v>10</v>
      </c>
      <c r="B226" s="556" t="s">
        <v>1542</v>
      </c>
      <c r="C226" s="1166" t="s">
        <v>878</v>
      </c>
      <c r="D226" s="514"/>
      <c r="E226" s="1286"/>
      <c r="F226" s="1272">
        <f>SUM('[8]Szanda'!D270)</f>
        <v>700</v>
      </c>
      <c r="G226" s="515"/>
      <c r="H226" s="515"/>
      <c r="I226" s="516">
        <f>F226</f>
        <v>700</v>
      </c>
      <c r="J226" s="517">
        <v>1000</v>
      </c>
      <c r="K226" s="528"/>
      <c r="L226" s="518"/>
      <c r="M226" s="519">
        <f>I226*J226</f>
        <v>700000</v>
      </c>
    </row>
    <row r="227" spans="1:13" s="493" customFormat="1" ht="14.25">
      <c r="A227" s="492"/>
      <c r="B227" s="1425" t="s">
        <v>958</v>
      </c>
      <c r="C227" s="1426"/>
      <c r="D227" s="1426"/>
      <c r="E227" s="1426"/>
      <c r="F227" s="1426"/>
      <c r="G227" s="1426"/>
      <c r="H227" s="1426"/>
      <c r="I227" s="1427"/>
      <c r="J227" s="466"/>
      <c r="K227" s="529"/>
      <c r="L227" s="530"/>
      <c r="M227" s="521">
        <f>SUM(M198:M226)</f>
        <v>179870651.7003106</v>
      </c>
    </row>
    <row r="228" spans="1:13" s="493" customFormat="1" ht="12.75">
      <c r="A228" s="493">
        <v>11</v>
      </c>
      <c r="B228" s="522" t="s">
        <v>959</v>
      </c>
      <c r="C228" s="1163" t="s">
        <v>1339</v>
      </c>
      <c r="D228" s="463"/>
      <c r="E228" s="497">
        <f>SUM('[8]Liget út'!C27)</f>
        <v>19</v>
      </c>
      <c r="F228" s="496"/>
      <c r="G228" s="497"/>
      <c r="H228" s="497"/>
      <c r="I228" s="497"/>
      <c r="J228" s="498">
        <v>2550000</v>
      </c>
      <c r="K228" s="497">
        <f>SUM('[8]Liget út segéd'!M11)</f>
        <v>1870000</v>
      </c>
      <c r="L228" s="496"/>
      <c r="M228" s="499">
        <f aca="true" t="shared" si="11" ref="M228:M255">SUM(K228:L228)</f>
        <v>1870000</v>
      </c>
    </row>
    <row r="229" spans="1:13" s="493" customFormat="1" ht="12.75">
      <c r="A229" s="493">
        <v>11</v>
      </c>
      <c r="B229" s="523" t="s">
        <v>959</v>
      </c>
      <c r="C229" s="1164" t="s">
        <v>718</v>
      </c>
      <c r="D229" s="501"/>
      <c r="E229" s="502">
        <f>SUM('[8]Liget út'!C28)</f>
        <v>34</v>
      </c>
      <c r="F229" s="503"/>
      <c r="G229" s="502"/>
      <c r="H229" s="502"/>
      <c r="I229" s="502"/>
      <c r="J229" s="504">
        <v>2550000</v>
      </c>
      <c r="K229" s="502">
        <f>SUM('[8]Liget út segéd'!M12)</f>
        <v>4148000</v>
      </c>
      <c r="L229" s="503"/>
      <c r="M229" s="388">
        <f t="shared" si="11"/>
        <v>4148000</v>
      </c>
    </row>
    <row r="230" spans="1:13" s="493" customFormat="1" ht="12.75">
      <c r="A230" s="493">
        <v>11</v>
      </c>
      <c r="B230" s="523" t="s">
        <v>959</v>
      </c>
      <c r="C230" s="1164" t="s">
        <v>1468</v>
      </c>
      <c r="D230" s="501"/>
      <c r="E230" s="502">
        <f>SUM('[8]Liget út'!C29)</f>
        <v>28</v>
      </c>
      <c r="F230" s="503"/>
      <c r="G230" s="502"/>
      <c r="H230" s="502"/>
      <c r="I230" s="502"/>
      <c r="J230" s="504">
        <v>2550000</v>
      </c>
      <c r="K230" s="502">
        <f>SUM('[8]Liget út segéd'!M13)</f>
        <v>4135249.9999999995</v>
      </c>
      <c r="L230" s="503"/>
      <c r="M230" s="388">
        <f t="shared" si="11"/>
        <v>4135249.9999999995</v>
      </c>
    </row>
    <row r="231" spans="1:13" s="493" customFormat="1" ht="12.75">
      <c r="A231" s="493">
        <v>11</v>
      </c>
      <c r="B231" s="523" t="s">
        <v>959</v>
      </c>
      <c r="C231" s="1164" t="s">
        <v>719</v>
      </c>
      <c r="D231" s="501"/>
      <c r="E231" s="502">
        <f>SUM('[8]Liget út'!C30)</f>
        <v>30</v>
      </c>
      <c r="F231" s="503"/>
      <c r="G231" s="502"/>
      <c r="H231" s="502"/>
      <c r="I231" s="502"/>
      <c r="J231" s="504">
        <v>2550000</v>
      </c>
      <c r="K231" s="502">
        <f>SUM('[8]Liget út segéd'!M14)</f>
        <v>3400000</v>
      </c>
      <c r="L231" s="503"/>
      <c r="M231" s="388">
        <f t="shared" si="11"/>
        <v>3400000</v>
      </c>
    </row>
    <row r="232" spans="1:13" s="493" customFormat="1" ht="12.75">
      <c r="A232" s="493">
        <v>11</v>
      </c>
      <c r="B232" s="523" t="s">
        <v>959</v>
      </c>
      <c r="C232" s="1164" t="s">
        <v>1469</v>
      </c>
      <c r="D232" s="501"/>
      <c r="E232" s="502">
        <f>SUM('[8]Liget út'!C31)</f>
        <v>25</v>
      </c>
      <c r="F232" s="503"/>
      <c r="G232" s="502"/>
      <c r="H232" s="502"/>
      <c r="I232" s="502"/>
      <c r="J232" s="504">
        <v>2550000</v>
      </c>
      <c r="K232" s="502">
        <f>SUM('[8]Liget út segéd'!M15)</f>
        <v>3293750</v>
      </c>
      <c r="L232" s="503"/>
      <c r="M232" s="388">
        <f t="shared" si="11"/>
        <v>3293750</v>
      </c>
    </row>
    <row r="233" spans="1:13" s="493" customFormat="1" ht="12.75">
      <c r="A233" s="493">
        <v>11</v>
      </c>
      <c r="B233" s="523" t="s">
        <v>959</v>
      </c>
      <c r="C233" s="1164" t="s">
        <v>1470</v>
      </c>
      <c r="D233" s="501"/>
      <c r="E233" s="502">
        <f>SUM('[8]Liget út'!C32)</f>
        <v>49</v>
      </c>
      <c r="F233" s="503"/>
      <c r="G233" s="502"/>
      <c r="H233" s="502"/>
      <c r="I233" s="502"/>
      <c r="J233" s="504">
        <v>2550000</v>
      </c>
      <c r="K233" s="502">
        <f>SUM('[8]Liget út segéd'!M16)</f>
        <v>7310000</v>
      </c>
      <c r="L233" s="503"/>
      <c r="M233" s="388">
        <f t="shared" si="11"/>
        <v>7310000</v>
      </c>
    </row>
    <row r="234" spans="1:13" s="493" customFormat="1" ht="12.75">
      <c r="A234" s="493">
        <v>11</v>
      </c>
      <c r="B234" s="523" t="s">
        <v>959</v>
      </c>
      <c r="C234" s="1164" t="s">
        <v>1471</v>
      </c>
      <c r="D234" s="504"/>
      <c r="E234" s="503"/>
      <c r="F234" s="502">
        <f>SUM('[8]Liget út'!D34)</f>
        <v>29</v>
      </c>
      <c r="G234" s="502"/>
      <c r="H234" s="502"/>
      <c r="I234" s="502"/>
      <c r="J234" s="504">
        <v>2550000</v>
      </c>
      <c r="K234" s="503"/>
      <c r="L234" s="502">
        <f>SUM('[8]Liget út segéd'!M32)</f>
        <v>1408571.4285714284</v>
      </c>
      <c r="M234" s="388">
        <f t="shared" si="11"/>
        <v>1408571.4285714284</v>
      </c>
    </row>
    <row r="235" spans="1:13" s="493" customFormat="1" ht="12.75">
      <c r="A235" s="493">
        <v>11</v>
      </c>
      <c r="B235" s="523" t="s">
        <v>959</v>
      </c>
      <c r="C235" s="1164" t="s">
        <v>1472</v>
      </c>
      <c r="D235" s="504"/>
      <c r="E235" s="503"/>
      <c r="F235" s="502">
        <f>SUM('[8]Liget út'!D35)</f>
        <v>14</v>
      </c>
      <c r="G235" s="502"/>
      <c r="H235" s="502"/>
      <c r="I235" s="502"/>
      <c r="J235" s="504">
        <v>2550000</v>
      </c>
      <c r="K235" s="503"/>
      <c r="L235" s="502">
        <f>SUM('[8]Liget út segéd'!M33)</f>
        <v>854000</v>
      </c>
      <c r="M235" s="388">
        <f t="shared" si="11"/>
        <v>854000</v>
      </c>
    </row>
    <row r="236" spans="1:13" s="493" customFormat="1" ht="12.75">
      <c r="A236" s="493">
        <v>11</v>
      </c>
      <c r="B236" s="523" t="s">
        <v>959</v>
      </c>
      <c r="C236" s="1164" t="s">
        <v>1473</v>
      </c>
      <c r="D236" s="504"/>
      <c r="E236" s="503"/>
      <c r="F236" s="502">
        <f>SUM('[8]Liget út'!D36)</f>
        <v>20</v>
      </c>
      <c r="G236" s="502"/>
      <c r="H236" s="502"/>
      <c r="I236" s="502"/>
      <c r="J236" s="504">
        <v>2550000</v>
      </c>
      <c r="K236" s="503"/>
      <c r="L236" s="502">
        <f>SUM('[8]Liget út segéd'!M34)</f>
        <v>1476875</v>
      </c>
      <c r="M236" s="388">
        <f t="shared" si="11"/>
        <v>1476875</v>
      </c>
    </row>
    <row r="237" spans="1:13" s="493" customFormat="1" ht="12.75">
      <c r="A237" s="493">
        <v>11</v>
      </c>
      <c r="B237" s="523" t="s">
        <v>959</v>
      </c>
      <c r="C237" s="1164" t="s">
        <v>1474</v>
      </c>
      <c r="D237" s="504"/>
      <c r="E237" s="503"/>
      <c r="F237" s="502">
        <f>SUM('[8]Liget út'!D37)</f>
        <v>57</v>
      </c>
      <c r="G237" s="502"/>
      <c r="H237" s="502"/>
      <c r="I237" s="502"/>
      <c r="J237" s="504">
        <v>2550000</v>
      </c>
      <c r="K237" s="503"/>
      <c r="L237" s="502">
        <f>SUM('[8]Liget út segéd'!M35)</f>
        <v>3265108.695652174</v>
      </c>
      <c r="M237" s="388">
        <f t="shared" si="11"/>
        <v>3265108.695652174</v>
      </c>
    </row>
    <row r="238" spans="1:13" s="493" customFormat="1" ht="12.75">
      <c r="A238" s="493">
        <v>11</v>
      </c>
      <c r="B238" s="523" t="s">
        <v>959</v>
      </c>
      <c r="C238" s="1164" t="s">
        <v>1476</v>
      </c>
      <c r="D238" s="504"/>
      <c r="E238" s="503"/>
      <c r="F238" s="502">
        <f>SUM('[8]Liget út'!D38)</f>
        <v>52</v>
      </c>
      <c r="G238" s="502"/>
      <c r="H238" s="502"/>
      <c r="I238" s="502"/>
      <c r="J238" s="504">
        <v>2550000</v>
      </c>
      <c r="K238" s="503"/>
      <c r="L238" s="502">
        <f>SUM('[8]Liget út segéd'!M36)</f>
        <v>3889600.0000000005</v>
      </c>
      <c r="M238" s="388">
        <f t="shared" si="11"/>
        <v>3889600.0000000005</v>
      </c>
    </row>
    <row r="239" spans="1:13" s="493" customFormat="1" ht="25.5">
      <c r="A239" s="493">
        <v>11</v>
      </c>
      <c r="B239" s="523" t="s">
        <v>959</v>
      </c>
      <c r="C239" s="1165" t="s">
        <v>960</v>
      </c>
      <c r="D239" s="504"/>
      <c r="E239" s="502">
        <f>SUM('[8]Liget út'!C49)</f>
        <v>18</v>
      </c>
      <c r="F239" s="538"/>
      <c r="G239" s="502"/>
      <c r="H239" s="502"/>
      <c r="I239" s="502"/>
      <c r="J239" s="504">
        <v>2550000</v>
      </c>
      <c r="K239" s="502">
        <f>SUM('[8]Liget út segéd'!M20)</f>
        <v>2210000</v>
      </c>
      <c r="L239" s="503"/>
      <c r="M239" s="388">
        <f t="shared" si="11"/>
        <v>2210000</v>
      </c>
    </row>
    <row r="240" spans="1:13" s="493" customFormat="1" ht="25.5">
      <c r="A240" s="493">
        <v>11</v>
      </c>
      <c r="B240" s="523" t="s">
        <v>959</v>
      </c>
      <c r="C240" s="1165" t="s">
        <v>961</v>
      </c>
      <c r="D240" s="504"/>
      <c r="E240" s="502">
        <f>SUM('[8]Liget út'!C50)</f>
        <v>23</v>
      </c>
      <c r="F240" s="503"/>
      <c r="G240" s="502"/>
      <c r="H240" s="502"/>
      <c r="I240" s="502"/>
      <c r="J240" s="504">
        <v>2550000</v>
      </c>
      <c r="K240" s="502">
        <f>SUM('[8]Liget út segéd'!M21)</f>
        <v>3060000</v>
      </c>
      <c r="L240" s="503"/>
      <c r="M240" s="388">
        <f t="shared" si="11"/>
        <v>3060000</v>
      </c>
    </row>
    <row r="241" spans="1:13" s="493" customFormat="1" ht="25.5">
      <c r="A241" s="493">
        <v>11</v>
      </c>
      <c r="B241" s="523" t="s">
        <v>959</v>
      </c>
      <c r="C241" s="1165" t="s">
        <v>962</v>
      </c>
      <c r="D241" s="504"/>
      <c r="E241" s="503"/>
      <c r="F241" s="502">
        <f>SUM('[8]Liget út'!D52)</f>
        <v>36</v>
      </c>
      <c r="G241" s="502"/>
      <c r="H241" s="502"/>
      <c r="I241" s="502"/>
      <c r="J241" s="504">
        <v>2550000</v>
      </c>
      <c r="K241" s="503"/>
      <c r="L241" s="502">
        <f>SUM('[8]Liget út segéd'!M39)</f>
        <v>2218500</v>
      </c>
      <c r="M241" s="388">
        <f t="shared" si="11"/>
        <v>2218500</v>
      </c>
    </row>
    <row r="242" spans="1:13" s="493" customFormat="1" ht="25.5">
      <c r="A242" s="493">
        <v>11</v>
      </c>
      <c r="B242" s="523" t="s">
        <v>959</v>
      </c>
      <c r="C242" s="1165" t="s">
        <v>963</v>
      </c>
      <c r="D242" s="504"/>
      <c r="E242" s="503"/>
      <c r="F242" s="502">
        <f>SUM('[8]Liget út'!D53)</f>
        <v>9</v>
      </c>
      <c r="G242" s="502"/>
      <c r="H242" s="502"/>
      <c r="I242" s="502"/>
      <c r="J242" s="504">
        <v>2550000</v>
      </c>
      <c r="K242" s="503"/>
      <c r="L242" s="502">
        <f>SUM('[8]Liget út segéd'!M40)</f>
        <v>597288.4615384615</v>
      </c>
      <c r="M242" s="388">
        <f t="shared" si="11"/>
        <v>597288.4615384615</v>
      </c>
    </row>
    <row r="243" spans="1:13" s="493" customFormat="1" ht="12.75">
      <c r="A243" s="492">
        <v>11</v>
      </c>
      <c r="B243" s="523" t="s">
        <v>959</v>
      </c>
      <c r="C243" s="1165" t="s">
        <v>721</v>
      </c>
      <c r="D243" s="505"/>
      <c r="E243" s="502">
        <f>SUM('[8]Liget út'!C100)</f>
        <v>30</v>
      </c>
      <c r="F243" s="510"/>
      <c r="G243" s="506"/>
      <c r="H243" s="506"/>
      <c r="I243" s="508">
        <f>E243/12*8</f>
        <v>20</v>
      </c>
      <c r="J243" s="509">
        <v>23000</v>
      </c>
      <c r="K243" s="502">
        <f>I243*J243</f>
        <v>460000</v>
      </c>
      <c r="L243" s="503"/>
      <c r="M243" s="388">
        <f t="shared" si="11"/>
        <v>460000</v>
      </c>
    </row>
    <row r="244" spans="1:13" s="493" customFormat="1" ht="12.75">
      <c r="A244" s="492">
        <v>11</v>
      </c>
      <c r="B244" s="523" t="s">
        <v>959</v>
      </c>
      <c r="C244" s="1165" t="s">
        <v>382</v>
      </c>
      <c r="D244" s="505"/>
      <c r="E244" s="502">
        <f>SUM('[8]Liget út'!C101)</f>
        <v>60</v>
      </c>
      <c r="F244" s="510"/>
      <c r="G244" s="502">
        <f>E244*8/12</f>
        <v>40</v>
      </c>
      <c r="H244" s="502">
        <f>F244*4/12</f>
        <v>0</v>
      </c>
      <c r="I244" s="512">
        <f>SUM(G244:H244)</f>
        <v>40</v>
      </c>
      <c r="J244" s="509">
        <v>32200</v>
      </c>
      <c r="K244" s="502">
        <f>J244*I244</f>
        <v>1288000</v>
      </c>
      <c r="L244" s="503"/>
      <c r="M244" s="388">
        <f t="shared" si="11"/>
        <v>1288000</v>
      </c>
    </row>
    <row r="245" spans="1:13" s="493" customFormat="1" ht="12.75">
      <c r="A245" s="492">
        <v>11</v>
      </c>
      <c r="B245" s="523" t="s">
        <v>959</v>
      </c>
      <c r="C245" s="1167" t="s">
        <v>1475</v>
      </c>
      <c r="D245" s="104"/>
      <c r="E245" s="503"/>
      <c r="F245" s="502">
        <f>SUM('[8]Liget út'!D103)</f>
        <v>5</v>
      </c>
      <c r="G245" s="502"/>
      <c r="H245" s="502"/>
      <c r="I245" s="502"/>
      <c r="J245" s="504">
        <v>2550000</v>
      </c>
      <c r="K245" s="503"/>
      <c r="L245" s="502">
        <f>SUM('[8]Liget út segéd'!M44)</f>
        <v>0</v>
      </c>
      <c r="M245" s="388">
        <f t="shared" si="11"/>
        <v>0</v>
      </c>
    </row>
    <row r="246" spans="1:13" s="493" customFormat="1" ht="17.25" customHeight="1">
      <c r="A246" s="492">
        <v>11</v>
      </c>
      <c r="B246" s="523" t="s">
        <v>959</v>
      </c>
      <c r="C246" s="1167" t="s">
        <v>581</v>
      </c>
      <c r="D246" s="104"/>
      <c r="E246" s="503"/>
      <c r="F246" s="502">
        <f>SUM('[8]Liget út'!D104)</f>
        <v>10</v>
      </c>
      <c r="G246" s="502"/>
      <c r="H246" s="502"/>
      <c r="I246" s="502"/>
      <c r="J246" s="504">
        <v>2550000</v>
      </c>
      <c r="K246" s="503"/>
      <c r="L246" s="502">
        <f>SUM('[8]Liget út segéd'!M45)</f>
        <v>54400</v>
      </c>
      <c r="M246" s="388">
        <f t="shared" si="11"/>
        <v>54400</v>
      </c>
    </row>
    <row r="247" spans="1:13" s="493" customFormat="1" ht="12.75">
      <c r="A247" s="492">
        <v>11</v>
      </c>
      <c r="B247" s="523" t="s">
        <v>959</v>
      </c>
      <c r="C247" s="1167" t="s">
        <v>582</v>
      </c>
      <c r="D247" s="104"/>
      <c r="E247" s="503"/>
      <c r="F247" s="502">
        <f>SUM('[8]Liget út'!D105)</f>
        <v>24</v>
      </c>
      <c r="G247" s="502"/>
      <c r="H247" s="502"/>
      <c r="I247" s="502"/>
      <c r="J247" s="504">
        <v>2550000</v>
      </c>
      <c r="K247" s="503"/>
      <c r="L247" s="502">
        <f>SUM('[8]Liget út segéd'!M46)</f>
        <v>262285.71428571426</v>
      </c>
      <c r="M247" s="388">
        <f t="shared" si="11"/>
        <v>262285.71428571426</v>
      </c>
    </row>
    <row r="248" spans="1:13" s="493" customFormat="1" ht="12.75">
      <c r="A248" s="492">
        <v>11</v>
      </c>
      <c r="B248" s="523" t="s">
        <v>959</v>
      </c>
      <c r="C248" s="1167" t="s">
        <v>583</v>
      </c>
      <c r="D248" s="104"/>
      <c r="E248" s="503"/>
      <c r="F248" s="502">
        <f>SUM('[8]Liget út'!D106)</f>
        <v>12</v>
      </c>
      <c r="G248" s="502"/>
      <c r="H248" s="502"/>
      <c r="I248" s="502"/>
      <c r="J248" s="504">
        <v>2550000</v>
      </c>
      <c r="K248" s="503"/>
      <c r="L248" s="502">
        <f>SUM('[8]Liget út segéd'!M47)</f>
        <v>170000</v>
      </c>
      <c r="M248" s="388">
        <f t="shared" si="11"/>
        <v>170000</v>
      </c>
    </row>
    <row r="249" spans="1:13" s="493" customFormat="1" ht="12.75">
      <c r="A249" s="492">
        <v>11</v>
      </c>
      <c r="B249" s="523" t="s">
        <v>959</v>
      </c>
      <c r="C249" s="1167" t="s">
        <v>584</v>
      </c>
      <c r="D249" s="104"/>
      <c r="E249" s="503"/>
      <c r="F249" s="502">
        <f>SUM('[8]Liget út'!D107)</f>
        <v>13</v>
      </c>
      <c r="G249" s="502"/>
      <c r="H249" s="502"/>
      <c r="I249" s="502"/>
      <c r="J249" s="504">
        <v>2550000</v>
      </c>
      <c r="K249" s="503"/>
      <c r="L249" s="502">
        <f>SUM('[8]Liget út segéd'!M48)</f>
        <v>170000</v>
      </c>
      <c r="M249" s="388">
        <f t="shared" si="11"/>
        <v>170000</v>
      </c>
    </row>
    <row r="250" spans="1:13" s="493" customFormat="1" ht="57.75" customHeight="1">
      <c r="A250" s="492">
        <v>11</v>
      </c>
      <c r="B250" s="523" t="s">
        <v>959</v>
      </c>
      <c r="C250" s="1165" t="s">
        <v>585</v>
      </c>
      <c r="D250" s="509"/>
      <c r="E250" s="506">
        <f>SUM('[8]Liget út'!C134)</f>
        <v>11</v>
      </c>
      <c r="F250" s="506">
        <f>SUM('[8]Liget út'!D138)</f>
        <v>10</v>
      </c>
      <c r="G250" s="507">
        <f>E250*8/12</f>
        <v>7.333333333333333</v>
      </c>
      <c r="H250" s="507">
        <f>F250*4/12</f>
        <v>3.3333333333333335</v>
      </c>
      <c r="I250" s="508">
        <f>SUM(G250:H250)</f>
        <v>10.666666666666666</v>
      </c>
      <c r="J250" s="509">
        <v>240000</v>
      </c>
      <c r="K250" s="502">
        <f>G250*J250</f>
        <v>1760000</v>
      </c>
      <c r="L250" s="502">
        <f>H250*J250</f>
        <v>800000</v>
      </c>
      <c r="M250" s="388">
        <f t="shared" si="11"/>
        <v>2560000</v>
      </c>
    </row>
    <row r="251" spans="1:13" s="493" customFormat="1" ht="51">
      <c r="A251" s="492">
        <v>11</v>
      </c>
      <c r="B251" s="523" t="s">
        <v>959</v>
      </c>
      <c r="C251" s="1165" t="s">
        <v>341</v>
      </c>
      <c r="D251" s="509"/>
      <c r="E251" s="506">
        <f>SUM('[8]Liget út'!C146)</f>
        <v>52</v>
      </c>
      <c r="F251" s="506">
        <f>SUM('[8]Liget út'!D151)</f>
        <v>53</v>
      </c>
      <c r="G251" s="507">
        <f>E251*8/12</f>
        <v>34.666666666666664</v>
      </c>
      <c r="H251" s="507">
        <f>F251*4/12</f>
        <v>17.666666666666668</v>
      </c>
      <c r="I251" s="508">
        <f>SUM(G251:H251)</f>
        <v>52.33333333333333</v>
      </c>
      <c r="J251" s="509">
        <v>384000</v>
      </c>
      <c r="K251" s="502">
        <f>G251*J251</f>
        <v>13312000</v>
      </c>
      <c r="L251" s="502">
        <f>H251*J251</f>
        <v>6784000</v>
      </c>
      <c r="M251" s="388">
        <f t="shared" si="11"/>
        <v>20096000</v>
      </c>
    </row>
    <row r="252" spans="1:13" s="493" customFormat="1" ht="51">
      <c r="A252" s="492">
        <v>11</v>
      </c>
      <c r="B252" s="523" t="s">
        <v>959</v>
      </c>
      <c r="C252" s="1165" t="s">
        <v>716</v>
      </c>
      <c r="D252" s="509"/>
      <c r="E252" s="506">
        <f>SUM('[8]Liget út'!C157)</f>
        <v>163</v>
      </c>
      <c r="F252" s="503"/>
      <c r="G252" s="507">
        <f>E252*8/12</f>
        <v>108.66666666666667</v>
      </c>
      <c r="H252" s="511"/>
      <c r="I252" s="508">
        <f>SUM(G252:H252)</f>
        <v>108.66666666666667</v>
      </c>
      <c r="J252" s="509">
        <v>192000</v>
      </c>
      <c r="K252" s="502">
        <f>G252*J252</f>
        <v>20864000</v>
      </c>
      <c r="L252" s="503"/>
      <c r="M252" s="388">
        <f t="shared" si="11"/>
        <v>20864000</v>
      </c>
    </row>
    <row r="253" spans="1:13" s="493" customFormat="1" ht="42.75" customHeight="1">
      <c r="A253" s="492">
        <v>11</v>
      </c>
      <c r="B253" s="523" t="s">
        <v>959</v>
      </c>
      <c r="C253" s="1165" t="s">
        <v>1336</v>
      </c>
      <c r="D253" s="505"/>
      <c r="E253" s="510"/>
      <c r="F253" s="506">
        <f>SUM('[8]Liget út'!D163)</f>
        <v>154</v>
      </c>
      <c r="G253" s="506"/>
      <c r="H253" s="507">
        <f>F253*4/12</f>
        <v>51.333333333333336</v>
      </c>
      <c r="I253" s="508">
        <f>SUM(G253:H253)</f>
        <v>51.333333333333336</v>
      </c>
      <c r="J253" s="509">
        <v>192000</v>
      </c>
      <c r="K253" s="510"/>
      <c r="L253" s="502">
        <f>H253*J253</f>
        <v>9856000</v>
      </c>
      <c r="M253" s="388">
        <f t="shared" si="11"/>
        <v>9856000</v>
      </c>
    </row>
    <row r="254" spans="1:13" s="493" customFormat="1" ht="12.75">
      <c r="A254" s="492">
        <v>11</v>
      </c>
      <c r="B254" s="523" t="s">
        <v>959</v>
      </c>
      <c r="C254" s="1165" t="s">
        <v>1480</v>
      </c>
      <c r="D254" s="505"/>
      <c r="E254" s="506">
        <f>SUM('[8]Liget út'!C237)</f>
        <v>19</v>
      </c>
      <c r="F254" s="506"/>
      <c r="G254" s="502">
        <f>E254*8/12</f>
        <v>12.666666666666666</v>
      </c>
      <c r="H254" s="502">
        <f>F254*4/12</f>
        <v>0</v>
      </c>
      <c r="I254" s="512">
        <f>ROUND(SUM(G254:H254),0)</f>
        <v>13</v>
      </c>
      <c r="J254" s="509">
        <v>15000</v>
      </c>
      <c r="K254" s="502">
        <f>G254*J254</f>
        <v>190000</v>
      </c>
      <c r="L254" s="502">
        <f>H254*J254</f>
        <v>0</v>
      </c>
      <c r="M254" s="388">
        <f t="shared" si="11"/>
        <v>190000</v>
      </c>
    </row>
    <row r="255" spans="1:13" s="493" customFormat="1" ht="12.75">
      <c r="A255" s="492">
        <v>11</v>
      </c>
      <c r="B255" s="523" t="s">
        <v>959</v>
      </c>
      <c r="C255" s="1165" t="s">
        <v>964</v>
      </c>
      <c r="D255" s="509"/>
      <c r="E255" s="506"/>
      <c r="F255" s="506">
        <v>14</v>
      </c>
      <c r="G255" s="506"/>
      <c r="H255" s="506">
        <v>4.666666666666667</v>
      </c>
      <c r="I255" s="539">
        <f>F255/12*4</f>
        <v>4.666666666666667</v>
      </c>
      <c r="J255" s="509">
        <v>18000</v>
      </c>
      <c r="K255" s="506"/>
      <c r="L255" s="506">
        <v>84000</v>
      </c>
      <c r="M255" s="540">
        <f t="shared" si="11"/>
        <v>84000</v>
      </c>
    </row>
    <row r="256" spans="1:13" s="493" customFormat="1" ht="25.5">
      <c r="A256" s="492">
        <v>11</v>
      </c>
      <c r="B256" s="523" t="s">
        <v>959</v>
      </c>
      <c r="C256" s="1165" t="s">
        <v>1508</v>
      </c>
      <c r="D256" s="505"/>
      <c r="E256" s="1273">
        <f>SUM('[8]Liget út'!C256)</f>
        <v>130</v>
      </c>
      <c r="F256" s="1273">
        <f>SUM('[8]Liget út'!D262)</f>
        <v>0</v>
      </c>
      <c r="G256" s="506"/>
      <c r="H256" s="506"/>
      <c r="I256" s="508">
        <f>SUM(E256:F256)</f>
        <v>130</v>
      </c>
      <c r="J256" s="509">
        <v>55000</v>
      </c>
      <c r="K256" s="502"/>
      <c r="L256" s="502"/>
      <c r="M256" s="388">
        <f>I256*J256</f>
        <v>7150000</v>
      </c>
    </row>
    <row r="257" spans="1:13" s="493" customFormat="1" ht="38.25">
      <c r="A257" s="492">
        <v>11</v>
      </c>
      <c r="B257" s="523" t="s">
        <v>959</v>
      </c>
      <c r="C257" s="1165" t="s">
        <v>586</v>
      </c>
      <c r="D257" s="505"/>
      <c r="E257" s="1274"/>
      <c r="F257" s="1273">
        <f>SUM('[8]Liget út'!D267)</f>
        <v>7</v>
      </c>
      <c r="G257" s="525"/>
      <c r="H257" s="525"/>
      <c r="I257" s="508">
        <f>F257</f>
        <v>7</v>
      </c>
      <c r="J257" s="509">
        <v>16000</v>
      </c>
      <c r="K257" s="502"/>
      <c r="L257" s="502"/>
      <c r="M257" s="388">
        <f>I257*J257</f>
        <v>112000</v>
      </c>
    </row>
    <row r="258" spans="1:13" s="493" customFormat="1" ht="12.75">
      <c r="A258" s="492">
        <v>11</v>
      </c>
      <c r="B258" s="523" t="s">
        <v>959</v>
      </c>
      <c r="C258" s="1165" t="s">
        <v>1509</v>
      </c>
      <c r="D258" s="505"/>
      <c r="E258" s="1285"/>
      <c r="F258" s="1273">
        <f>SUM('[8]Liget út'!D269)</f>
        <v>212</v>
      </c>
      <c r="G258" s="506"/>
      <c r="H258" s="506"/>
      <c r="I258" s="508">
        <f>F258</f>
        <v>212</v>
      </c>
      <c r="J258" s="509">
        <v>10000</v>
      </c>
      <c r="K258" s="503"/>
      <c r="L258" s="502"/>
      <c r="M258" s="388">
        <f>I258*J258</f>
        <v>2120000</v>
      </c>
    </row>
    <row r="259" spans="1:13" s="493" customFormat="1" ht="12.75">
      <c r="A259" s="492">
        <v>11</v>
      </c>
      <c r="B259" s="526" t="s">
        <v>959</v>
      </c>
      <c r="C259" s="1166" t="s">
        <v>878</v>
      </c>
      <c r="D259" s="514"/>
      <c r="E259" s="1286"/>
      <c r="F259" s="1272">
        <f>SUM('[8]Liget út'!D270)+5</f>
        <v>217</v>
      </c>
      <c r="G259" s="515"/>
      <c r="H259" s="515"/>
      <c r="I259" s="516">
        <f>F259</f>
        <v>217</v>
      </c>
      <c r="J259" s="517">
        <v>1000</v>
      </c>
      <c r="K259" s="528"/>
      <c r="L259" s="518"/>
      <c r="M259" s="519">
        <f>I259*J259</f>
        <v>217000</v>
      </c>
    </row>
    <row r="260" spans="1:13" s="493" customFormat="1" ht="14.25">
      <c r="A260" s="492"/>
      <c r="B260" s="1425" t="s">
        <v>965</v>
      </c>
      <c r="C260" s="1426"/>
      <c r="D260" s="1426"/>
      <c r="E260" s="1426"/>
      <c r="F260" s="1426"/>
      <c r="G260" s="1426"/>
      <c r="H260" s="1426"/>
      <c r="I260" s="1427"/>
      <c r="J260" s="466"/>
      <c r="K260" s="529"/>
      <c r="L260" s="530"/>
      <c r="M260" s="521">
        <f>SUM(M228:M259)</f>
        <v>108790629.30004779</v>
      </c>
    </row>
    <row r="261" spans="1:13" s="493" customFormat="1" ht="25.5">
      <c r="A261" s="493">
        <v>12</v>
      </c>
      <c r="B261" s="554" t="s">
        <v>966</v>
      </c>
      <c r="C261" s="1163" t="s">
        <v>1339</v>
      </c>
      <c r="D261" s="463"/>
      <c r="E261" s="497">
        <f>SUM('[8]Mátyás'!C27)</f>
        <v>30</v>
      </c>
      <c r="F261" s="496"/>
      <c r="G261" s="497"/>
      <c r="H261" s="497"/>
      <c r="I261" s="497"/>
      <c r="J261" s="498">
        <v>2550000</v>
      </c>
      <c r="K261" s="497">
        <f>SUM('[8]Mátyás segéd'!M11)</f>
        <v>2890000</v>
      </c>
      <c r="L261" s="496"/>
      <c r="M261" s="499">
        <f aca="true" t="shared" si="12" ref="M261:M284">SUM(K261:L261)</f>
        <v>2890000</v>
      </c>
    </row>
    <row r="262" spans="1:13" s="493" customFormat="1" ht="25.5">
      <c r="A262" s="493">
        <v>12</v>
      </c>
      <c r="B262" s="1053" t="s">
        <v>966</v>
      </c>
      <c r="C262" s="1164" t="s">
        <v>718</v>
      </c>
      <c r="D262" s="501"/>
      <c r="E262" s="502">
        <f>SUM('[8]Mátyás'!C28)</f>
        <v>56</v>
      </c>
      <c r="F262" s="503"/>
      <c r="G262" s="502"/>
      <c r="H262" s="502"/>
      <c r="I262" s="502"/>
      <c r="J262" s="504">
        <v>2550000</v>
      </c>
      <c r="K262" s="502">
        <f>SUM('[8]Mátyás segéd'!M12)</f>
        <v>6832000</v>
      </c>
      <c r="L262" s="503"/>
      <c r="M262" s="388">
        <f t="shared" si="12"/>
        <v>6832000</v>
      </c>
    </row>
    <row r="263" spans="1:13" s="493" customFormat="1" ht="25.5">
      <c r="A263" s="493">
        <v>12</v>
      </c>
      <c r="B263" s="1053" t="s">
        <v>966</v>
      </c>
      <c r="C263" s="1164" t="s">
        <v>1468</v>
      </c>
      <c r="D263" s="501"/>
      <c r="E263" s="502">
        <f>SUM('[8]Mátyás'!C29)</f>
        <v>42</v>
      </c>
      <c r="F263" s="503"/>
      <c r="G263" s="502"/>
      <c r="H263" s="502"/>
      <c r="I263" s="502"/>
      <c r="J263" s="504">
        <v>2550000</v>
      </c>
      <c r="K263" s="502">
        <f>SUM('[8]Mátyás segéd'!M13)</f>
        <v>6202875</v>
      </c>
      <c r="L263" s="503"/>
      <c r="M263" s="388">
        <f t="shared" si="12"/>
        <v>6202875</v>
      </c>
    </row>
    <row r="264" spans="1:13" s="493" customFormat="1" ht="25.5">
      <c r="A264" s="493">
        <v>12</v>
      </c>
      <c r="B264" s="1053" t="s">
        <v>966</v>
      </c>
      <c r="C264" s="1164" t="s">
        <v>719</v>
      </c>
      <c r="D264" s="501"/>
      <c r="E264" s="502">
        <f>SUM('[8]Mátyás'!C30)</f>
        <v>46</v>
      </c>
      <c r="F264" s="503"/>
      <c r="G264" s="502"/>
      <c r="H264" s="502"/>
      <c r="I264" s="502"/>
      <c r="J264" s="504">
        <v>2550000</v>
      </c>
      <c r="K264" s="502">
        <f>SUM('[8]Mátyás segéd'!M14)</f>
        <v>5270000</v>
      </c>
      <c r="L264" s="503"/>
      <c r="M264" s="388">
        <f t="shared" si="12"/>
        <v>5270000</v>
      </c>
    </row>
    <row r="265" spans="1:13" s="493" customFormat="1" ht="25.5">
      <c r="A265" s="493">
        <v>12</v>
      </c>
      <c r="B265" s="1053" t="s">
        <v>966</v>
      </c>
      <c r="C265" s="1164" t="s">
        <v>1469</v>
      </c>
      <c r="D265" s="501"/>
      <c r="E265" s="502">
        <f>SUM('[8]Mátyás'!C31)</f>
        <v>41</v>
      </c>
      <c r="F265" s="503"/>
      <c r="G265" s="502"/>
      <c r="H265" s="502"/>
      <c r="I265" s="502"/>
      <c r="J265" s="504">
        <v>2550000</v>
      </c>
      <c r="K265" s="502">
        <f>SUM('[8]Mátyás segéd'!M15)</f>
        <v>5401749.999999999</v>
      </c>
      <c r="L265" s="503">
        <f>SUM('[9]Mátyás segéd'!Q62:Q64)</f>
        <v>0</v>
      </c>
      <c r="M265" s="388">
        <f t="shared" si="12"/>
        <v>5401749.999999999</v>
      </c>
    </row>
    <row r="266" spans="1:13" s="493" customFormat="1" ht="25.5">
      <c r="A266" s="493">
        <v>12</v>
      </c>
      <c r="B266" s="1053" t="s">
        <v>966</v>
      </c>
      <c r="C266" s="1164" t="s">
        <v>1470</v>
      </c>
      <c r="D266" s="501"/>
      <c r="E266" s="502">
        <f>SUM('[8]Mátyás'!C32)</f>
        <v>116</v>
      </c>
      <c r="F266" s="503"/>
      <c r="G266" s="502"/>
      <c r="H266" s="502"/>
      <c r="I266" s="502"/>
      <c r="J266" s="504">
        <v>2550000</v>
      </c>
      <c r="K266" s="502">
        <f>SUM('[8]Mátyás segéd'!M16)</f>
        <v>17340000</v>
      </c>
      <c r="L266" s="503"/>
      <c r="M266" s="388">
        <f t="shared" si="12"/>
        <v>17340000</v>
      </c>
    </row>
    <row r="267" spans="1:13" s="493" customFormat="1" ht="25.5">
      <c r="A267" s="493">
        <v>12</v>
      </c>
      <c r="B267" s="1053" t="s">
        <v>966</v>
      </c>
      <c r="C267" s="1164" t="s">
        <v>1471</v>
      </c>
      <c r="D267" s="504"/>
      <c r="E267" s="503"/>
      <c r="F267" s="502">
        <f>SUM('[8]Mátyás'!D34)</f>
        <v>71</v>
      </c>
      <c r="G267" s="502"/>
      <c r="H267" s="502"/>
      <c r="I267" s="502"/>
      <c r="J267" s="504">
        <v>2550000</v>
      </c>
      <c r="K267" s="503"/>
      <c r="L267" s="502">
        <f>SUM('[8]Mátyás segéd'!M32)</f>
        <v>3448571.4285714286</v>
      </c>
      <c r="M267" s="388">
        <f t="shared" si="12"/>
        <v>3448571.4285714286</v>
      </c>
    </row>
    <row r="268" spans="1:13" s="493" customFormat="1" ht="25.5">
      <c r="A268" s="493">
        <v>12</v>
      </c>
      <c r="B268" s="1053" t="s">
        <v>966</v>
      </c>
      <c r="C268" s="1164" t="s">
        <v>1472</v>
      </c>
      <c r="D268" s="504"/>
      <c r="E268" s="503"/>
      <c r="F268" s="502">
        <f>SUM('[8]Mátyás'!D35)</f>
        <v>23</v>
      </c>
      <c r="G268" s="502"/>
      <c r="H268" s="502"/>
      <c r="I268" s="502"/>
      <c r="J268" s="504">
        <v>2550000</v>
      </c>
      <c r="K268" s="503"/>
      <c r="L268" s="502">
        <f>SUM('[8]Mátyás segéd'!M33)</f>
        <v>1403000</v>
      </c>
      <c r="M268" s="388">
        <f t="shared" si="12"/>
        <v>1403000</v>
      </c>
    </row>
    <row r="269" spans="1:13" s="493" customFormat="1" ht="25.5">
      <c r="A269" s="493">
        <v>12</v>
      </c>
      <c r="B269" s="1053" t="s">
        <v>966</v>
      </c>
      <c r="C269" s="1164" t="s">
        <v>1473</v>
      </c>
      <c r="D269" s="504"/>
      <c r="E269" s="503"/>
      <c r="F269" s="502">
        <f>SUM('[8]Mátyás'!D36)</f>
        <v>37</v>
      </c>
      <c r="G269" s="502"/>
      <c r="H269" s="502"/>
      <c r="I269" s="502"/>
      <c r="J269" s="504">
        <v>2550000</v>
      </c>
      <c r="K269" s="503"/>
      <c r="L269" s="502">
        <f>SUM('[8]Mátyás segéd'!M34)</f>
        <v>2732218.75</v>
      </c>
      <c r="M269" s="388">
        <f t="shared" si="12"/>
        <v>2732218.75</v>
      </c>
    </row>
    <row r="270" spans="1:13" s="493" customFormat="1" ht="25.5">
      <c r="A270" s="493">
        <v>12</v>
      </c>
      <c r="B270" s="1053" t="s">
        <v>966</v>
      </c>
      <c r="C270" s="1164" t="s">
        <v>1474</v>
      </c>
      <c r="D270" s="504"/>
      <c r="E270" s="503"/>
      <c r="F270" s="502">
        <f>SUM('[8]Mátyás'!D37)</f>
        <v>86</v>
      </c>
      <c r="G270" s="502"/>
      <c r="H270" s="502"/>
      <c r="I270" s="502"/>
      <c r="J270" s="504">
        <v>2550000</v>
      </c>
      <c r="K270" s="503"/>
      <c r="L270" s="502">
        <f>SUM('[8]Mátyás segéd'!M35)</f>
        <v>4926304.347826087</v>
      </c>
      <c r="M270" s="388">
        <f t="shared" si="12"/>
        <v>4926304.347826087</v>
      </c>
    </row>
    <row r="271" spans="1:13" s="493" customFormat="1" ht="25.5">
      <c r="A271" s="493">
        <v>12</v>
      </c>
      <c r="B271" s="1053" t="s">
        <v>966</v>
      </c>
      <c r="C271" s="1164" t="s">
        <v>1476</v>
      </c>
      <c r="D271" s="504"/>
      <c r="E271" s="503"/>
      <c r="F271" s="502">
        <f>SUM('[8]Mátyás'!D38)</f>
        <v>97</v>
      </c>
      <c r="G271" s="502"/>
      <c r="H271" s="502"/>
      <c r="I271" s="502"/>
      <c r="J271" s="504">
        <v>2550000</v>
      </c>
      <c r="K271" s="503"/>
      <c r="L271" s="502">
        <f>SUM('[8]Mátyás segéd'!M36)</f>
        <v>7255600</v>
      </c>
      <c r="M271" s="388">
        <f t="shared" si="12"/>
        <v>7255600</v>
      </c>
    </row>
    <row r="272" spans="1:13" ht="25.5">
      <c r="A272" s="492">
        <v>12</v>
      </c>
      <c r="B272" s="1053" t="s">
        <v>966</v>
      </c>
      <c r="C272" s="1165" t="s">
        <v>579</v>
      </c>
      <c r="D272" s="509"/>
      <c r="E272" s="506">
        <f>SUM('[8]Mátyás'!C66)</f>
        <v>151</v>
      </c>
      <c r="F272" s="510"/>
      <c r="G272" s="507">
        <f>E272*8/12</f>
        <v>100.66666666666667</v>
      </c>
      <c r="H272" s="506"/>
      <c r="I272" s="512">
        <f>SUM(G272:H272)</f>
        <v>100.66666666666667</v>
      </c>
      <c r="J272" s="509">
        <v>40000</v>
      </c>
      <c r="K272" s="502">
        <f>J272*I272</f>
        <v>4026666.666666667</v>
      </c>
      <c r="L272" s="503"/>
      <c r="M272" s="388">
        <f t="shared" si="12"/>
        <v>4026666.666666667</v>
      </c>
    </row>
    <row r="273" spans="1:13" ht="25.5">
      <c r="A273" s="492">
        <v>12</v>
      </c>
      <c r="B273" s="1053" t="s">
        <v>966</v>
      </c>
      <c r="C273" s="1165" t="s">
        <v>580</v>
      </c>
      <c r="D273" s="104"/>
      <c r="E273" s="503"/>
      <c r="F273" s="506">
        <f>SUM('[8]Mátyás'!D74)</f>
        <v>143</v>
      </c>
      <c r="G273" s="502"/>
      <c r="H273" s="502"/>
      <c r="I273" s="1271">
        <f>F273</f>
        <v>143</v>
      </c>
      <c r="J273" s="504">
        <v>2500000</v>
      </c>
      <c r="K273" s="503"/>
      <c r="L273" s="502">
        <f>SUM('[8]Mátyás segéd'!M42)</f>
        <v>972400.0000000001</v>
      </c>
      <c r="M273" s="388">
        <f t="shared" si="12"/>
        <v>972400.0000000001</v>
      </c>
    </row>
    <row r="274" spans="1:13" ht="25.5">
      <c r="A274" s="492">
        <v>12</v>
      </c>
      <c r="B274" s="1053" t="s">
        <v>966</v>
      </c>
      <c r="C274" s="1165" t="s">
        <v>721</v>
      </c>
      <c r="D274" s="505"/>
      <c r="E274" s="502">
        <f>SUM('[8]Mátyás'!C100)</f>
        <v>90</v>
      </c>
      <c r="F274" s="510"/>
      <c r="G274" s="506"/>
      <c r="H274" s="506"/>
      <c r="I274" s="508">
        <f>E274/12*8</f>
        <v>60</v>
      </c>
      <c r="J274" s="509">
        <v>23000</v>
      </c>
      <c r="K274" s="502">
        <f>I274*J274</f>
        <v>1380000</v>
      </c>
      <c r="L274" s="503"/>
      <c r="M274" s="388">
        <f t="shared" si="12"/>
        <v>1380000</v>
      </c>
    </row>
    <row r="275" spans="1:13" ht="25.5">
      <c r="A275" s="492">
        <v>12</v>
      </c>
      <c r="B275" s="1053" t="s">
        <v>966</v>
      </c>
      <c r="C275" s="1165" t="s">
        <v>382</v>
      </c>
      <c r="D275" s="505"/>
      <c r="E275" s="502">
        <f>SUM('[8]Mátyás'!C101)</f>
        <v>128</v>
      </c>
      <c r="F275" s="510"/>
      <c r="G275" s="502">
        <f>E275*8/12</f>
        <v>85.33333333333333</v>
      </c>
      <c r="H275" s="502">
        <f>F275*4/12</f>
        <v>0</v>
      </c>
      <c r="I275" s="512">
        <f>SUM(G275:H275)</f>
        <v>85.33333333333333</v>
      </c>
      <c r="J275" s="509">
        <v>32200</v>
      </c>
      <c r="K275" s="502">
        <f>J275*I275</f>
        <v>2747733.333333333</v>
      </c>
      <c r="L275" s="503"/>
      <c r="M275" s="388">
        <f t="shared" si="12"/>
        <v>2747733.333333333</v>
      </c>
    </row>
    <row r="276" spans="1:13" ht="25.5">
      <c r="A276" s="492">
        <v>12</v>
      </c>
      <c r="B276" s="1053" t="s">
        <v>966</v>
      </c>
      <c r="C276" s="1167" t="s">
        <v>581</v>
      </c>
      <c r="D276" s="104"/>
      <c r="E276" s="503"/>
      <c r="F276" s="502">
        <f>SUM('[8]Mátyás'!D104)</f>
        <v>78</v>
      </c>
      <c r="G276" s="502"/>
      <c r="H276" s="502"/>
      <c r="I276" s="502"/>
      <c r="J276" s="504">
        <v>2550000</v>
      </c>
      <c r="K276" s="503"/>
      <c r="L276" s="502">
        <f>SUM('[8]Mátyás segéd'!M45)</f>
        <v>424320</v>
      </c>
      <c r="M276" s="388">
        <f t="shared" si="12"/>
        <v>424320</v>
      </c>
    </row>
    <row r="277" spans="1:13" ht="25.5">
      <c r="A277" s="492">
        <v>12</v>
      </c>
      <c r="B277" s="1053" t="s">
        <v>966</v>
      </c>
      <c r="C277" s="1167" t="s">
        <v>582</v>
      </c>
      <c r="D277" s="104"/>
      <c r="E277" s="503"/>
      <c r="F277" s="502">
        <f>SUM('[8]Mátyás'!D105)</f>
        <v>71</v>
      </c>
      <c r="G277" s="502"/>
      <c r="H277" s="502"/>
      <c r="I277" s="502"/>
      <c r="J277" s="504">
        <v>2550000</v>
      </c>
      <c r="K277" s="503"/>
      <c r="L277" s="502">
        <f>SUM('[8]Mátyás segéd'!M46)</f>
        <v>775928.5714285715</v>
      </c>
      <c r="M277" s="388">
        <f t="shared" si="12"/>
        <v>775928.5714285715</v>
      </c>
    </row>
    <row r="278" spans="1:13" ht="25.5">
      <c r="A278" s="492">
        <v>12</v>
      </c>
      <c r="B278" s="1053" t="s">
        <v>966</v>
      </c>
      <c r="C278" s="1167" t="s">
        <v>583</v>
      </c>
      <c r="D278" s="104"/>
      <c r="E278" s="503"/>
      <c r="F278" s="502">
        <f>SUM('[8]Mátyás'!D106)</f>
        <v>23</v>
      </c>
      <c r="G278" s="502"/>
      <c r="H278" s="502"/>
      <c r="I278" s="502"/>
      <c r="J278" s="504">
        <v>2550000</v>
      </c>
      <c r="K278" s="503"/>
      <c r="L278" s="502">
        <f>SUM('[8]Mátyás segéd'!M47)</f>
        <v>340000</v>
      </c>
      <c r="M278" s="388">
        <f t="shared" si="12"/>
        <v>340000</v>
      </c>
    </row>
    <row r="279" spans="1:13" ht="25.5">
      <c r="A279" s="492">
        <v>12</v>
      </c>
      <c r="B279" s="1053" t="s">
        <v>966</v>
      </c>
      <c r="C279" s="1167" t="s">
        <v>584</v>
      </c>
      <c r="D279" s="104"/>
      <c r="E279" s="503"/>
      <c r="F279" s="502">
        <f>SUM('[8]Mátyás'!D107)</f>
        <v>37</v>
      </c>
      <c r="G279" s="502"/>
      <c r="H279" s="502"/>
      <c r="I279" s="502"/>
      <c r="J279" s="504">
        <v>2550000</v>
      </c>
      <c r="K279" s="503"/>
      <c r="L279" s="502">
        <f>SUM('[8]Mátyás segéd'!M48)</f>
        <v>510000</v>
      </c>
      <c r="M279" s="388">
        <f t="shared" si="12"/>
        <v>510000</v>
      </c>
    </row>
    <row r="280" spans="1:13" ht="51">
      <c r="A280" s="492">
        <v>12</v>
      </c>
      <c r="B280" s="1053" t="s">
        <v>966</v>
      </c>
      <c r="C280" s="1165" t="s">
        <v>585</v>
      </c>
      <c r="D280" s="509"/>
      <c r="E280" s="506">
        <f>SUM('[8]Mátyás'!C134)</f>
        <v>2</v>
      </c>
      <c r="F280" s="506">
        <f>SUM('[8]Mátyás'!D138)</f>
        <v>2</v>
      </c>
      <c r="G280" s="507">
        <f>E280*8/12</f>
        <v>1.3333333333333333</v>
      </c>
      <c r="H280" s="507">
        <f>F280*4/12</f>
        <v>0.6666666666666666</v>
      </c>
      <c r="I280" s="508">
        <f>SUM(G280:H280)</f>
        <v>2</v>
      </c>
      <c r="J280" s="509">
        <v>240000</v>
      </c>
      <c r="K280" s="502">
        <f>G280*J280</f>
        <v>320000</v>
      </c>
      <c r="L280" s="502">
        <f>H280*J280</f>
        <v>160000</v>
      </c>
      <c r="M280" s="388">
        <f t="shared" si="12"/>
        <v>480000</v>
      </c>
    </row>
    <row r="281" spans="1:13" ht="51">
      <c r="A281" s="492">
        <v>12</v>
      </c>
      <c r="B281" s="1053" t="s">
        <v>966</v>
      </c>
      <c r="C281" s="1165" t="s">
        <v>716</v>
      </c>
      <c r="D281" s="509"/>
      <c r="E281" s="506">
        <f>SUM('[8]Mátyás'!C159)</f>
        <v>71</v>
      </c>
      <c r="F281" s="503"/>
      <c r="G281" s="507">
        <f>E281*8/12</f>
        <v>47.333333333333336</v>
      </c>
      <c r="H281" s="511"/>
      <c r="I281" s="508">
        <f>SUM(G281:H281)</f>
        <v>47.333333333333336</v>
      </c>
      <c r="J281" s="509">
        <v>192000</v>
      </c>
      <c r="K281" s="502">
        <f>G281*J281</f>
        <v>9088000</v>
      </c>
      <c r="L281" s="503"/>
      <c r="M281" s="388">
        <f t="shared" si="12"/>
        <v>9088000</v>
      </c>
    </row>
    <row r="282" spans="1:13" ht="41.25" customHeight="1">
      <c r="A282" s="492">
        <v>12</v>
      </c>
      <c r="B282" s="1053" t="s">
        <v>966</v>
      </c>
      <c r="C282" s="1165" t="s">
        <v>1336</v>
      </c>
      <c r="D282" s="505"/>
      <c r="E282" s="510"/>
      <c r="F282" s="506">
        <f>SUM('[8]Mátyás'!D165)</f>
        <v>29</v>
      </c>
      <c r="G282" s="506"/>
      <c r="H282" s="507">
        <f>F282*4/12</f>
        <v>9.666666666666666</v>
      </c>
      <c r="I282" s="508">
        <f>SUM(G282:H282)</f>
        <v>9.666666666666666</v>
      </c>
      <c r="J282" s="509">
        <v>192000</v>
      </c>
      <c r="K282" s="510"/>
      <c r="L282" s="502">
        <f>H282*J282</f>
        <v>1856000</v>
      </c>
      <c r="M282" s="388">
        <f t="shared" si="12"/>
        <v>1856000</v>
      </c>
    </row>
    <row r="283" spans="1:13" ht="38.25">
      <c r="A283" s="492">
        <v>12</v>
      </c>
      <c r="B283" s="1053" t="s">
        <v>966</v>
      </c>
      <c r="C283" s="1165" t="s">
        <v>1337</v>
      </c>
      <c r="D283" s="505"/>
      <c r="E283" s="510"/>
      <c r="F283" s="506">
        <f>SUM('[8]Mátyás'!D171)</f>
        <v>12</v>
      </c>
      <c r="G283" s="506"/>
      <c r="H283" s="507">
        <f>F283*4/12</f>
        <v>4</v>
      </c>
      <c r="I283" s="508">
        <f>SUM(G283:H283)</f>
        <v>4</v>
      </c>
      <c r="J283" s="509">
        <v>144000</v>
      </c>
      <c r="K283" s="510"/>
      <c r="L283" s="506">
        <f>I283*J283</f>
        <v>576000</v>
      </c>
      <c r="M283" s="388">
        <f t="shared" si="12"/>
        <v>576000</v>
      </c>
    </row>
    <row r="284" spans="1:13" ht="38.25">
      <c r="A284" s="492">
        <v>12</v>
      </c>
      <c r="B284" s="1053" t="s">
        <v>966</v>
      </c>
      <c r="C284" s="1165" t="s">
        <v>725</v>
      </c>
      <c r="D284" s="970"/>
      <c r="E284" s="524"/>
      <c r="F284" s="512">
        <f>'[8]Mátyás'!D75</f>
        <v>143</v>
      </c>
      <c r="G284" s="524"/>
      <c r="H284" s="502">
        <f>F284*4/12</f>
        <v>47.666666666666664</v>
      </c>
      <c r="I284" s="512">
        <f>SUM(G284:H284)</f>
        <v>47.666666666666664</v>
      </c>
      <c r="J284" s="504">
        <v>20000</v>
      </c>
      <c r="K284" s="502">
        <f>G284*J284</f>
        <v>0</v>
      </c>
      <c r="L284" s="502">
        <f>H284*J284</f>
        <v>953333.3333333333</v>
      </c>
      <c r="M284" s="388">
        <f t="shared" si="12"/>
        <v>953333.3333333333</v>
      </c>
    </row>
    <row r="285" spans="1:13" ht="25.5">
      <c r="A285" s="492">
        <v>12</v>
      </c>
      <c r="B285" s="1053" t="s">
        <v>966</v>
      </c>
      <c r="C285" s="1165" t="s">
        <v>1508</v>
      </c>
      <c r="D285" s="505"/>
      <c r="E285" s="1273">
        <f>SUM('[8]Mátyás'!C258)</f>
        <v>236</v>
      </c>
      <c r="F285" s="1273">
        <f>SUM('[8]Mátyás'!D264)</f>
        <v>0</v>
      </c>
      <c r="G285" s="506"/>
      <c r="H285" s="506"/>
      <c r="I285" s="508">
        <f>SUM(E285:F285)</f>
        <v>236</v>
      </c>
      <c r="J285" s="509">
        <v>55000</v>
      </c>
      <c r="K285" s="502"/>
      <c r="L285" s="502"/>
      <c r="M285" s="388">
        <f>I285*J285</f>
        <v>12980000</v>
      </c>
    </row>
    <row r="286" spans="1:13" ht="38.25">
      <c r="A286" s="492">
        <v>12</v>
      </c>
      <c r="B286" s="1053" t="s">
        <v>966</v>
      </c>
      <c r="C286" s="1165" t="s">
        <v>586</v>
      </c>
      <c r="D286" s="505"/>
      <c r="E286" s="1274"/>
      <c r="F286" s="1273">
        <f>SUM('[8]Mátyás'!D267)</f>
        <v>21</v>
      </c>
      <c r="G286" s="525"/>
      <c r="H286" s="525"/>
      <c r="I286" s="508">
        <f>F286</f>
        <v>21</v>
      </c>
      <c r="J286" s="509">
        <v>16000</v>
      </c>
      <c r="K286" s="502"/>
      <c r="L286" s="502"/>
      <c r="M286" s="388">
        <f>I286*J286</f>
        <v>336000</v>
      </c>
    </row>
    <row r="287" spans="1:13" ht="25.5">
      <c r="A287" s="492">
        <v>12</v>
      </c>
      <c r="B287" s="1053" t="s">
        <v>966</v>
      </c>
      <c r="C287" s="1165" t="s">
        <v>1509</v>
      </c>
      <c r="D287" s="505"/>
      <c r="E287" s="1285"/>
      <c r="F287" s="1273">
        <f>SUM('[8]Mátyás'!D269)</f>
        <v>234</v>
      </c>
      <c r="G287" s="506"/>
      <c r="H287" s="506"/>
      <c r="I287" s="508">
        <f>F287</f>
        <v>234</v>
      </c>
      <c r="J287" s="509">
        <v>10000</v>
      </c>
      <c r="K287" s="503"/>
      <c r="L287" s="502"/>
      <c r="M287" s="388">
        <f>I287*J287</f>
        <v>2340000</v>
      </c>
    </row>
    <row r="288" spans="1:13" ht="25.5">
      <c r="A288" s="492">
        <v>12</v>
      </c>
      <c r="B288" s="556" t="s">
        <v>966</v>
      </c>
      <c r="C288" s="1166" t="s">
        <v>878</v>
      </c>
      <c r="D288" s="514"/>
      <c r="E288" s="1286"/>
      <c r="F288" s="1272">
        <f>SUM('[8]Mátyás'!D270)</f>
        <v>314</v>
      </c>
      <c r="G288" s="515"/>
      <c r="H288" s="515"/>
      <c r="I288" s="516">
        <f>F288</f>
        <v>314</v>
      </c>
      <c r="J288" s="517">
        <v>1000</v>
      </c>
      <c r="K288" s="528"/>
      <c r="L288" s="518"/>
      <c r="M288" s="519">
        <f>I288*J288</f>
        <v>314000</v>
      </c>
    </row>
    <row r="289" spans="2:13" ht="14.25">
      <c r="B289" s="1425" t="s">
        <v>967</v>
      </c>
      <c r="C289" s="1426"/>
      <c r="D289" s="1426"/>
      <c r="E289" s="1426"/>
      <c r="F289" s="1426"/>
      <c r="G289" s="1426"/>
      <c r="H289" s="1426"/>
      <c r="I289" s="1427"/>
      <c r="J289" s="466"/>
      <c r="K289" s="529"/>
      <c r="L289" s="530"/>
      <c r="M289" s="521">
        <f>SUM(M261:M288)</f>
        <v>103802701.4311594</v>
      </c>
    </row>
    <row r="290" spans="1:13" ht="25.5">
      <c r="A290" s="493">
        <v>13</v>
      </c>
      <c r="B290" s="554" t="s">
        <v>1544</v>
      </c>
      <c r="C290" s="1163" t="s">
        <v>1339</v>
      </c>
      <c r="D290" s="463"/>
      <c r="E290" s="497">
        <f>SUM('[8]Kőrösi'!C27)</f>
        <v>73</v>
      </c>
      <c r="F290" s="496"/>
      <c r="G290" s="497"/>
      <c r="H290" s="497"/>
      <c r="I290" s="497"/>
      <c r="J290" s="498">
        <v>2550000</v>
      </c>
      <c r="K290" s="497">
        <f>SUM('[8]Kőrösi segéd'!M11)</f>
        <v>7140000</v>
      </c>
      <c r="L290" s="496"/>
      <c r="M290" s="499">
        <f aca="true" t="shared" si="13" ref="M290:M310">SUM(K290:L290)</f>
        <v>7140000</v>
      </c>
    </row>
    <row r="291" spans="1:13" ht="25.5">
      <c r="A291" s="493">
        <v>13</v>
      </c>
      <c r="B291" s="1053" t="s">
        <v>1544</v>
      </c>
      <c r="C291" s="1164" t="s">
        <v>718</v>
      </c>
      <c r="D291" s="501"/>
      <c r="E291" s="502">
        <f>SUM('[8]Kőrösi'!C28)</f>
        <v>154</v>
      </c>
      <c r="F291" s="503"/>
      <c r="G291" s="502"/>
      <c r="H291" s="502"/>
      <c r="I291" s="502"/>
      <c r="J291" s="504">
        <v>2550000</v>
      </c>
      <c r="K291" s="502">
        <f>SUM('[8]Kőrösi segéd'!M12)</f>
        <v>18787999.999999996</v>
      </c>
      <c r="L291" s="503"/>
      <c r="M291" s="388">
        <f t="shared" si="13"/>
        <v>18787999.999999996</v>
      </c>
    </row>
    <row r="292" spans="1:13" ht="25.5">
      <c r="A292" s="493">
        <v>13</v>
      </c>
      <c r="B292" s="1053" t="s">
        <v>1544</v>
      </c>
      <c r="C292" s="1164" t="s">
        <v>1468</v>
      </c>
      <c r="D292" s="501"/>
      <c r="E292" s="502">
        <f>SUM('[8]Kőrösi'!C29)</f>
        <v>62</v>
      </c>
      <c r="F292" s="503"/>
      <c r="G292" s="502"/>
      <c r="H292" s="502"/>
      <c r="I292" s="502"/>
      <c r="J292" s="504">
        <v>2550000</v>
      </c>
      <c r="K292" s="502">
        <f>SUM('[8]Kőrösi segéd'!M13)</f>
        <v>9156624.999999998</v>
      </c>
      <c r="L292" s="503"/>
      <c r="M292" s="388">
        <f t="shared" si="13"/>
        <v>9156624.999999998</v>
      </c>
    </row>
    <row r="293" spans="1:13" ht="25.5">
      <c r="A293" s="493">
        <v>13</v>
      </c>
      <c r="B293" s="1053" t="s">
        <v>1544</v>
      </c>
      <c r="C293" s="1164" t="s">
        <v>719</v>
      </c>
      <c r="D293" s="501"/>
      <c r="E293" s="502">
        <f>SUM('[8]Kőrösi'!C30)</f>
        <v>70</v>
      </c>
      <c r="F293" s="503"/>
      <c r="G293" s="502"/>
      <c r="H293" s="502"/>
      <c r="I293" s="502"/>
      <c r="J293" s="504">
        <v>2550000</v>
      </c>
      <c r="K293" s="502">
        <f>SUM('[8]Kőrösi segéd'!M14)</f>
        <v>7990000</v>
      </c>
      <c r="L293" s="503"/>
      <c r="M293" s="388">
        <f t="shared" si="13"/>
        <v>7990000</v>
      </c>
    </row>
    <row r="294" spans="1:13" ht="25.5">
      <c r="A294" s="493">
        <v>13</v>
      </c>
      <c r="B294" s="1053" t="s">
        <v>1544</v>
      </c>
      <c r="C294" s="1164" t="s">
        <v>1469</v>
      </c>
      <c r="D294" s="501"/>
      <c r="E294" s="502">
        <f>SUM('[8]Kőrösi'!C31)</f>
        <v>86</v>
      </c>
      <c r="F294" s="503"/>
      <c r="G294" s="502"/>
      <c r="H294" s="502"/>
      <c r="I294" s="502"/>
      <c r="J294" s="504">
        <v>2550000</v>
      </c>
      <c r="K294" s="502">
        <f>SUM('[8]Kőrösi segéd'!M15)</f>
        <v>11330500</v>
      </c>
      <c r="L294" s="503">
        <f>SUM('[9]Kőrősi segéd'!Q62:Q64)</f>
        <v>0</v>
      </c>
      <c r="M294" s="388">
        <f t="shared" si="13"/>
        <v>11330500</v>
      </c>
    </row>
    <row r="295" spans="1:13" ht="25.5">
      <c r="A295" s="493">
        <v>13</v>
      </c>
      <c r="B295" s="1053" t="s">
        <v>1544</v>
      </c>
      <c r="C295" s="1164" t="s">
        <v>1470</v>
      </c>
      <c r="D295" s="501"/>
      <c r="E295" s="502">
        <f>SUM('[8]Kőrösi'!C32)</f>
        <v>184</v>
      </c>
      <c r="F295" s="503"/>
      <c r="G295" s="502"/>
      <c r="H295" s="502"/>
      <c r="I295" s="502"/>
      <c r="J295" s="504">
        <v>2550000</v>
      </c>
      <c r="K295" s="502">
        <f>SUM('[8]Kőrösi segéd'!M16)</f>
        <v>27540000</v>
      </c>
      <c r="L295" s="503"/>
      <c r="M295" s="388">
        <f t="shared" si="13"/>
        <v>27540000</v>
      </c>
    </row>
    <row r="296" spans="1:13" ht="25.5">
      <c r="A296" s="493">
        <v>13</v>
      </c>
      <c r="B296" s="1053" t="s">
        <v>1544</v>
      </c>
      <c r="C296" s="1164" t="s">
        <v>1471</v>
      </c>
      <c r="D296" s="504"/>
      <c r="E296" s="503"/>
      <c r="F296" s="502">
        <f>SUM('[8]Kőrösi'!D34)</f>
        <v>150</v>
      </c>
      <c r="G296" s="502"/>
      <c r="H296" s="502"/>
      <c r="I296" s="502"/>
      <c r="J296" s="504">
        <v>2550000</v>
      </c>
      <c r="K296" s="503"/>
      <c r="L296" s="502">
        <f>SUM('[8]Kőrösi segéd'!M32)</f>
        <v>7285714.285714286</v>
      </c>
      <c r="M296" s="388">
        <f t="shared" si="13"/>
        <v>7285714.285714286</v>
      </c>
    </row>
    <row r="297" spans="1:13" ht="25.5">
      <c r="A297" s="493">
        <v>13</v>
      </c>
      <c r="B297" s="1053" t="s">
        <v>1544</v>
      </c>
      <c r="C297" s="1164" t="s">
        <v>1472</v>
      </c>
      <c r="D297" s="504"/>
      <c r="E297" s="503"/>
      <c r="F297" s="502">
        <f>SUM('[8]Kőrösi'!D35)</f>
        <v>77</v>
      </c>
      <c r="G297" s="502"/>
      <c r="H297" s="502"/>
      <c r="I297" s="502"/>
      <c r="J297" s="504">
        <v>2550000</v>
      </c>
      <c r="K297" s="503"/>
      <c r="L297" s="502">
        <f>SUM('[8]Kőrösi segéd'!M33)</f>
        <v>4696999.999999999</v>
      </c>
      <c r="M297" s="388">
        <f t="shared" si="13"/>
        <v>4696999.999999999</v>
      </c>
    </row>
    <row r="298" spans="1:13" ht="25.5">
      <c r="A298" s="493">
        <v>13</v>
      </c>
      <c r="B298" s="1053" t="s">
        <v>1544</v>
      </c>
      <c r="C298" s="1164" t="s">
        <v>1473</v>
      </c>
      <c r="D298" s="504"/>
      <c r="E298" s="503"/>
      <c r="F298" s="502">
        <f>SUM('[8]Kőrösi'!D36)</f>
        <v>78</v>
      </c>
      <c r="G298" s="502"/>
      <c r="H298" s="502"/>
      <c r="I298" s="502"/>
      <c r="J298" s="504">
        <v>2550000</v>
      </c>
      <c r="K298" s="503"/>
      <c r="L298" s="502">
        <f>SUM('[8]Kőrösi segéd'!M34)</f>
        <v>5759812.499999999</v>
      </c>
      <c r="M298" s="388">
        <f t="shared" si="13"/>
        <v>5759812.499999999</v>
      </c>
    </row>
    <row r="299" spans="1:13" ht="25.5">
      <c r="A299" s="493">
        <v>13</v>
      </c>
      <c r="B299" s="1053" t="s">
        <v>1544</v>
      </c>
      <c r="C299" s="1164" t="s">
        <v>1474</v>
      </c>
      <c r="D299" s="504"/>
      <c r="E299" s="503"/>
      <c r="F299" s="502">
        <f>SUM('[8]Kőrösi'!D37)</f>
        <v>137</v>
      </c>
      <c r="G299" s="502"/>
      <c r="H299" s="502"/>
      <c r="I299" s="502"/>
      <c r="J299" s="504">
        <v>2550000</v>
      </c>
      <c r="K299" s="503"/>
      <c r="L299" s="502">
        <f>SUM('[8]Kőrösi segéd'!M35)</f>
        <v>7847717.391304348</v>
      </c>
      <c r="M299" s="388">
        <f t="shared" si="13"/>
        <v>7847717.391304348</v>
      </c>
    </row>
    <row r="300" spans="1:13" ht="25.5">
      <c r="A300" s="493">
        <v>13</v>
      </c>
      <c r="B300" s="1053" t="s">
        <v>1544</v>
      </c>
      <c r="C300" s="1164" t="s">
        <v>1476</v>
      </c>
      <c r="D300" s="504"/>
      <c r="E300" s="503"/>
      <c r="F300" s="502">
        <f>SUM('[8]Kőrösi'!D38)</f>
        <v>178</v>
      </c>
      <c r="G300" s="502"/>
      <c r="H300" s="502"/>
      <c r="I300" s="502"/>
      <c r="J300" s="504">
        <v>2550000</v>
      </c>
      <c r="K300" s="503"/>
      <c r="L300" s="502">
        <f>SUM('[8]Kőrösi segéd'!M36)</f>
        <v>13314400.000000002</v>
      </c>
      <c r="M300" s="388">
        <f t="shared" si="13"/>
        <v>13314400.000000002</v>
      </c>
    </row>
    <row r="301" spans="1:13" ht="25.5">
      <c r="A301" s="492">
        <v>13</v>
      </c>
      <c r="B301" s="1053" t="s">
        <v>1544</v>
      </c>
      <c r="C301" s="1165" t="s">
        <v>579</v>
      </c>
      <c r="D301" s="509"/>
      <c r="E301" s="506">
        <f>SUM('[8]Kőrösi'!C66)</f>
        <v>62.4</v>
      </c>
      <c r="F301" s="510"/>
      <c r="G301" s="507">
        <f>E301*8/12</f>
        <v>41.6</v>
      </c>
      <c r="H301" s="506"/>
      <c r="I301" s="512">
        <f>SUM(G301:H301)</f>
        <v>41.6</v>
      </c>
      <c r="J301" s="509">
        <v>40000</v>
      </c>
      <c r="K301" s="502">
        <f>J301*I301</f>
        <v>1664000</v>
      </c>
      <c r="L301" s="503"/>
      <c r="M301" s="388">
        <f t="shared" si="13"/>
        <v>1664000</v>
      </c>
    </row>
    <row r="302" spans="1:13" ht="25.5">
      <c r="A302" s="492">
        <v>13</v>
      </c>
      <c r="B302" s="1053" t="s">
        <v>1544</v>
      </c>
      <c r="C302" s="1165" t="s">
        <v>580</v>
      </c>
      <c r="D302" s="104"/>
      <c r="E302" s="503"/>
      <c r="F302" s="506">
        <f>SUM('[8]Kőrösi'!D74)</f>
        <v>83.6</v>
      </c>
      <c r="G302" s="502"/>
      <c r="H302" s="502"/>
      <c r="I302" s="1271">
        <f>F302</f>
        <v>83.6</v>
      </c>
      <c r="J302" s="504">
        <v>2500000</v>
      </c>
      <c r="K302" s="503"/>
      <c r="L302" s="502">
        <f>SUM('[8]Kőrösi segéd'!M42)</f>
        <v>568479.9999999999</v>
      </c>
      <c r="M302" s="388">
        <f t="shared" si="13"/>
        <v>568479.9999999999</v>
      </c>
    </row>
    <row r="303" spans="1:13" ht="25.5">
      <c r="A303" s="492">
        <v>13</v>
      </c>
      <c r="B303" s="1053" t="s">
        <v>1544</v>
      </c>
      <c r="C303" s="1165" t="s">
        <v>721</v>
      </c>
      <c r="D303" s="505"/>
      <c r="E303" s="502">
        <f>SUM('[8]Kőrösi'!C100)</f>
        <v>223</v>
      </c>
      <c r="F303" s="510"/>
      <c r="G303" s="506"/>
      <c r="H303" s="506"/>
      <c r="I303" s="508">
        <f>E303/12*8</f>
        <v>148.66666666666666</v>
      </c>
      <c r="J303" s="509">
        <v>23000</v>
      </c>
      <c r="K303" s="502">
        <f>I303*J303</f>
        <v>3419333.333333333</v>
      </c>
      <c r="L303" s="503"/>
      <c r="M303" s="388">
        <f t="shared" si="13"/>
        <v>3419333.333333333</v>
      </c>
    </row>
    <row r="304" spans="1:13" ht="25.5">
      <c r="A304" s="492">
        <v>13</v>
      </c>
      <c r="B304" s="1053" t="s">
        <v>1544</v>
      </c>
      <c r="C304" s="1167" t="s">
        <v>1475</v>
      </c>
      <c r="D304" s="104"/>
      <c r="E304" s="503"/>
      <c r="F304" s="502">
        <f>SUM('[8]Kőrösi'!D103)</f>
        <v>92</v>
      </c>
      <c r="G304" s="502"/>
      <c r="H304" s="502"/>
      <c r="I304" s="502"/>
      <c r="J304" s="504">
        <v>2550000</v>
      </c>
      <c r="K304" s="503"/>
      <c r="L304" s="502">
        <f>SUM('[8]Kőrösi segéd'!M44)</f>
        <v>765000</v>
      </c>
      <c r="M304" s="388">
        <f t="shared" si="13"/>
        <v>765000</v>
      </c>
    </row>
    <row r="305" spans="1:13" ht="25.5">
      <c r="A305" s="492">
        <v>13</v>
      </c>
      <c r="B305" s="1053" t="s">
        <v>1544</v>
      </c>
      <c r="C305" s="1167" t="s">
        <v>581</v>
      </c>
      <c r="D305" s="104"/>
      <c r="E305" s="503"/>
      <c r="F305" s="502">
        <f>SUM('[8]Kőrösi'!D104)</f>
        <v>20</v>
      </c>
      <c r="G305" s="502"/>
      <c r="H305" s="502"/>
      <c r="I305" s="502"/>
      <c r="J305" s="504">
        <v>2550000</v>
      </c>
      <c r="K305" s="503"/>
      <c r="L305" s="502">
        <f>SUM('[8]Kőrösi segéd'!M45)</f>
        <v>108800</v>
      </c>
      <c r="M305" s="388">
        <f t="shared" si="13"/>
        <v>108800</v>
      </c>
    </row>
    <row r="306" spans="1:13" ht="51">
      <c r="A306" s="492">
        <v>13</v>
      </c>
      <c r="B306" s="1053" t="s">
        <v>1544</v>
      </c>
      <c r="C306" s="1165" t="s">
        <v>1227</v>
      </c>
      <c r="D306" s="509"/>
      <c r="E306" s="506">
        <f>SUM('[8]Kőrösi'!C146)</f>
        <v>1</v>
      </c>
      <c r="F306" s="506">
        <f>SUM('[8]Kőrösi'!D153)</f>
        <v>1</v>
      </c>
      <c r="G306" s="507">
        <f>E306*8/12</f>
        <v>0.6666666666666666</v>
      </c>
      <c r="H306" s="507">
        <f>F306*4/12</f>
        <v>0.3333333333333333</v>
      </c>
      <c r="I306" s="508">
        <f>SUM(G306:H306)</f>
        <v>1</v>
      </c>
      <c r="J306" s="509">
        <v>384000</v>
      </c>
      <c r="K306" s="502">
        <f>G306*J306</f>
        <v>256000</v>
      </c>
      <c r="L306" s="502">
        <f>H306*J306</f>
        <v>128000</v>
      </c>
      <c r="M306" s="388">
        <f t="shared" si="13"/>
        <v>384000</v>
      </c>
    </row>
    <row r="307" spans="1:13" ht="51">
      <c r="A307" s="492">
        <v>13</v>
      </c>
      <c r="B307" s="1053" t="s">
        <v>1544</v>
      </c>
      <c r="C307" s="1165" t="s">
        <v>716</v>
      </c>
      <c r="D307" s="509"/>
      <c r="E307" s="506">
        <f>SUM('[8]Kőrösi'!C159)</f>
        <v>54</v>
      </c>
      <c r="F307" s="503"/>
      <c r="G307" s="507">
        <f>E307*8/12</f>
        <v>36</v>
      </c>
      <c r="H307" s="511"/>
      <c r="I307" s="508">
        <f>SUM(G307:H307)</f>
        <v>36</v>
      </c>
      <c r="J307" s="509">
        <v>192000</v>
      </c>
      <c r="K307" s="502">
        <f>G307*J307</f>
        <v>6912000</v>
      </c>
      <c r="L307" s="503"/>
      <c r="M307" s="388">
        <f t="shared" si="13"/>
        <v>6912000</v>
      </c>
    </row>
    <row r="308" spans="1:13" ht="41.25" customHeight="1">
      <c r="A308" s="492">
        <v>13</v>
      </c>
      <c r="B308" s="1053" t="s">
        <v>1544</v>
      </c>
      <c r="C308" s="1165" t="s">
        <v>1336</v>
      </c>
      <c r="D308" s="505"/>
      <c r="E308" s="510"/>
      <c r="F308" s="506">
        <f>SUM('[8]Kőrösi'!D165)</f>
        <v>9</v>
      </c>
      <c r="G308" s="506"/>
      <c r="H308" s="507">
        <f>F308*4/12</f>
        <v>3</v>
      </c>
      <c r="I308" s="508">
        <f>SUM(G308:H308)</f>
        <v>3</v>
      </c>
      <c r="J308" s="509">
        <v>192000</v>
      </c>
      <c r="K308" s="510"/>
      <c r="L308" s="502">
        <f>H308*J308</f>
        <v>576000</v>
      </c>
      <c r="M308" s="388">
        <f t="shared" si="13"/>
        <v>576000</v>
      </c>
    </row>
    <row r="309" spans="1:13" ht="38.25">
      <c r="A309" s="492">
        <v>13</v>
      </c>
      <c r="B309" s="1053" t="s">
        <v>1544</v>
      </c>
      <c r="C309" s="1165" t="s">
        <v>1337</v>
      </c>
      <c r="D309" s="505"/>
      <c r="E309" s="510"/>
      <c r="F309" s="506">
        <f>SUM('[8]Kőrösi'!D171)</f>
        <v>33</v>
      </c>
      <c r="G309" s="506"/>
      <c r="H309" s="507">
        <f>F309*4/12</f>
        <v>11</v>
      </c>
      <c r="I309" s="508">
        <f>SUM(G309:H309)</f>
        <v>11</v>
      </c>
      <c r="J309" s="509">
        <v>144000</v>
      </c>
      <c r="K309" s="510"/>
      <c r="L309" s="506">
        <f>I309*J309</f>
        <v>1584000</v>
      </c>
      <c r="M309" s="388">
        <f t="shared" si="13"/>
        <v>1584000</v>
      </c>
    </row>
    <row r="310" spans="1:13" ht="38.25">
      <c r="A310" s="492">
        <v>13</v>
      </c>
      <c r="B310" s="1053" t="s">
        <v>1544</v>
      </c>
      <c r="C310" s="1165" t="s">
        <v>725</v>
      </c>
      <c r="D310" s="970"/>
      <c r="E310" s="524"/>
      <c r="F310" s="512">
        <f>'[8]Kőrösi'!D75</f>
        <v>83.6</v>
      </c>
      <c r="G310" s="524"/>
      <c r="H310" s="502">
        <f>F310*4/12+0.133333</f>
        <v>27.999999666666664</v>
      </c>
      <c r="I310" s="512">
        <f>SUM(G310:H310)</f>
        <v>27.999999666666664</v>
      </c>
      <c r="J310" s="504">
        <v>20000</v>
      </c>
      <c r="K310" s="502">
        <f>G310*J310</f>
        <v>0</v>
      </c>
      <c r="L310" s="502">
        <f>H310*J310</f>
        <v>559999.9933333333</v>
      </c>
      <c r="M310" s="388">
        <f t="shared" si="13"/>
        <v>559999.9933333333</v>
      </c>
    </row>
    <row r="311" spans="1:13" ht="25.5">
      <c r="A311" s="492">
        <v>13</v>
      </c>
      <c r="B311" s="1053" t="s">
        <v>1544</v>
      </c>
      <c r="C311" s="1165" t="s">
        <v>1508</v>
      </c>
      <c r="D311" s="505"/>
      <c r="E311" s="1273">
        <f>SUM('[8]Kőrösi'!C258)</f>
        <v>167</v>
      </c>
      <c r="F311" s="1273">
        <f>SUM('[8]Kőrösi'!D264)</f>
        <v>0</v>
      </c>
      <c r="G311" s="506"/>
      <c r="H311" s="506"/>
      <c r="I311" s="508">
        <f>SUM(E311:F311)</f>
        <v>167</v>
      </c>
      <c r="J311" s="509">
        <v>55000</v>
      </c>
      <c r="K311" s="502"/>
      <c r="L311" s="502"/>
      <c r="M311" s="388">
        <f>I311*J311</f>
        <v>9185000</v>
      </c>
    </row>
    <row r="312" spans="1:13" ht="38.25">
      <c r="A312" s="492">
        <v>13</v>
      </c>
      <c r="B312" s="1053" t="s">
        <v>1544</v>
      </c>
      <c r="C312" s="1165" t="s">
        <v>586</v>
      </c>
      <c r="D312" s="505"/>
      <c r="E312" s="1274"/>
      <c r="F312" s="1273">
        <f>SUM('[8]Kőrösi'!D267)</f>
        <v>6</v>
      </c>
      <c r="G312" s="525"/>
      <c r="H312" s="525"/>
      <c r="I312" s="508">
        <f>F312</f>
        <v>6</v>
      </c>
      <c r="J312" s="509">
        <v>16000</v>
      </c>
      <c r="K312" s="502"/>
      <c r="L312" s="502"/>
      <c r="M312" s="388">
        <f>I312*J312</f>
        <v>96000</v>
      </c>
    </row>
    <row r="313" spans="1:13" ht="25.5">
      <c r="A313" s="492">
        <v>13</v>
      </c>
      <c r="B313" s="1053" t="s">
        <v>1544</v>
      </c>
      <c r="C313" s="1165" t="s">
        <v>1509</v>
      </c>
      <c r="D313" s="505"/>
      <c r="E313" s="1285"/>
      <c r="F313" s="1273">
        <f>SUM('[8]Kőrösi'!D269)</f>
        <v>241</v>
      </c>
      <c r="G313" s="506"/>
      <c r="H313" s="506"/>
      <c r="I313" s="508">
        <f>F313</f>
        <v>241</v>
      </c>
      <c r="J313" s="509">
        <v>10000</v>
      </c>
      <c r="K313" s="503"/>
      <c r="L313" s="502"/>
      <c r="M313" s="388">
        <f>I313*J313</f>
        <v>2410000</v>
      </c>
    </row>
    <row r="314" spans="1:13" ht="25.5">
      <c r="A314" s="492">
        <v>13</v>
      </c>
      <c r="B314" s="556" t="s">
        <v>1544</v>
      </c>
      <c r="C314" s="1166" t="s">
        <v>878</v>
      </c>
      <c r="D314" s="514"/>
      <c r="E314" s="1286"/>
      <c r="F314" s="1272">
        <f>SUM('[8]Kőrösi'!D270)</f>
        <v>620</v>
      </c>
      <c r="G314" s="515"/>
      <c r="H314" s="515"/>
      <c r="I314" s="516">
        <f>F314</f>
        <v>620</v>
      </c>
      <c r="J314" s="517">
        <v>1000</v>
      </c>
      <c r="K314" s="528"/>
      <c r="L314" s="518"/>
      <c r="M314" s="519">
        <f>I314*J314</f>
        <v>620000</v>
      </c>
    </row>
    <row r="315" spans="2:13" ht="14.25">
      <c r="B315" s="1425" t="s">
        <v>968</v>
      </c>
      <c r="C315" s="1426"/>
      <c r="D315" s="1426"/>
      <c r="E315" s="1426"/>
      <c r="F315" s="1426"/>
      <c r="G315" s="1426"/>
      <c r="H315" s="1426"/>
      <c r="I315" s="1427"/>
      <c r="J315" s="466"/>
      <c r="K315" s="529"/>
      <c r="L315" s="530"/>
      <c r="M315" s="521">
        <f>SUM(M290:M314)</f>
        <v>149702382.5036853</v>
      </c>
    </row>
    <row r="316" spans="1:13" ht="12.75">
      <c r="A316" s="493">
        <v>14</v>
      </c>
      <c r="B316" s="522" t="s">
        <v>61</v>
      </c>
      <c r="C316" s="1163" t="s">
        <v>1339</v>
      </c>
      <c r="D316" s="463"/>
      <c r="E316" s="497">
        <f>SUM('[8]Szent-györgyi'!C27)</f>
        <v>103</v>
      </c>
      <c r="F316" s="496"/>
      <c r="G316" s="497"/>
      <c r="H316" s="497"/>
      <c r="I316" s="497"/>
      <c r="J316" s="498">
        <v>2550000</v>
      </c>
      <c r="K316" s="497">
        <f>SUM('[8]Szent-györgyi segéd'!M11)</f>
        <v>10030000</v>
      </c>
      <c r="L316" s="496"/>
      <c r="M316" s="499">
        <f aca="true" t="shared" si="14" ref="M316:M334">SUM(K316:L316)</f>
        <v>10030000</v>
      </c>
    </row>
    <row r="317" spans="1:13" ht="12.75">
      <c r="A317" s="493">
        <v>14</v>
      </c>
      <c r="B317" s="523" t="s">
        <v>61</v>
      </c>
      <c r="C317" s="1164" t="s">
        <v>718</v>
      </c>
      <c r="D317" s="501"/>
      <c r="E317" s="502">
        <f>SUM('[8]Szent-györgyi'!C28)</f>
        <v>199</v>
      </c>
      <c r="F317" s="503"/>
      <c r="G317" s="502"/>
      <c r="H317" s="502"/>
      <c r="I317" s="502"/>
      <c r="J317" s="504">
        <v>2550000</v>
      </c>
      <c r="K317" s="502">
        <f>SUM('[8]Szent-györgyi segéd'!M12)</f>
        <v>24277999.999999996</v>
      </c>
      <c r="L317" s="503"/>
      <c r="M317" s="388">
        <f t="shared" si="14"/>
        <v>24277999.999999996</v>
      </c>
    </row>
    <row r="318" spans="1:13" ht="12.75">
      <c r="A318" s="493">
        <v>14</v>
      </c>
      <c r="B318" s="523" t="s">
        <v>61</v>
      </c>
      <c r="C318" s="1164" t="s">
        <v>1468</v>
      </c>
      <c r="D318" s="501"/>
      <c r="E318" s="502">
        <f>SUM('[8]Szent-györgyi'!C29)</f>
        <v>97</v>
      </c>
      <c r="F318" s="503"/>
      <c r="G318" s="502"/>
      <c r="H318" s="502"/>
      <c r="I318" s="502"/>
      <c r="J318" s="504">
        <v>2550000</v>
      </c>
      <c r="K318" s="502">
        <f>SUM('[8]Szent-györgyi segéd'!M13)</f>
        <v>14325687.499999998</v>
      </c>
      <c r="L318" s="503"/>
      <c r="M318" s="388">
        <f t="shared" si="14"/>
        <v>14325687.499999998</v>
      </c>
    </row>
    <row r="319" spans="1:13" ht="12.75">
      <c r="A319" s="493">
        <v>14</v>
      </c>
      <c r="B319" s="523" t="s">
        <v>61</v>
      </c>
      <c r="C319" s="1164" t="s">
        <v>719</v>
      </c>
      <c r="D319" s="501"/>
      <c r="E319" s="502">
        <f>SUM('[8]Szent-györgyi'!C30)</f>
        <v>92</v>
      </c>
      <c r="F319" s="503"/>
      <c r="G319" s="502"/>
      <c r="H319" s="502"/>
      <c r="I319" s="502"/>
      <c r="J319" s="504">
        <v>2550000</v>
      </c>
      <c r="K319" s="502">
        <f>SUM('[8]Szent-györgyi segéd'!M14)</f>
        <v>10540000</v>
      </c>
      <c r="L319" s="503"/>
      <c r="M319" s="388">
        <f t="shared" si="14"/>
        <v>10540000</v>
      </c>
    </row>
    <row r="320" spans="1:13" ht="12.75">
      <c r="A320" s="493">
        <v>14</v>
      </c>
      <c r="B320" s="523" t="s">
        <v>61</v>
      </c>
      <c r="C320" s="1164" t="s">
        <v>1469</v>
      </c>
      <c r="D320" s="501"/>
      <c r="E320" s="502">
        <f>SUM('[8]Szent-györgyi'!C31)</f>
        <v>118</v>
      </c>
      <c r="F320" s="503"/>
      <c r="G320" s="502"/>
      <c r="H320" s="502"/>
      <c r="I320" s="502"/>
      <c r="J320" s="504">
        <v>2550000</v>
      </c>
      <c r="K320" s="502">
        <f>SUM('[8]Szent-györgyi segéd'!M15)</f>
        <v>15546500.000000002</v>
      </c>
      <c r="L320" s="503">
        <f>SUM('[9]Szentgyörgyi segéd'!Q62:Q64)</f>
        <v>0</v>
      </c>
      <c r="M320" s="388">
        <f t="shared" si="14"/>
        <v>15546500.000000002</v>
      </c>
    </row>
    <row r="321" spans="1:13" ht="12.75">
      <c r="A321" s="493">
        <v>14</v>
      </c>
      <c r="B321" s="523" t="s">
        <v>61</v>
      </c>
      <c r="C321" s="1164" t="s">
        <v>1470</v>
      </c>
      <c r="D321" s="501"/>
      <c r="E321" s="502">
        <f>SUM('[8]Szent-györgyi'!C32)</f>
        <v>234</v>
      </c>
      <c r="F321" s="503"/>
      <c r="G321" s="502"/>
      <c r="H321" s="502"/>
      <c r="I321" s="502"/>
      <c r="J321" s="504">
        <v>2550000</v>
      </c>
      <c r="K321" s="502">
        <f>SUM('[8]Szent-györgyi segéd'!M16)</f>
        <v>35020000</v>
      </c>
      <c r="L321" s="503"/>
      <c r="M321" s="388">
        <f t="shared" si="14"/>
        <v>35020000</v>
      </c>
    </row>
    <row r="322" spans="1:13" ht="12.75">
      <c r="A322" s="493">
        <v>14</v>
      </c>
      <c r="B322" s="523" t="s">
        <v>61</v>
      </c>
      <c r="C322" s="1164" t="s">
        <v>1471</v>
      </c>
      <c r="D322" s="504"/>
      <c r="E322" s="503"/>
      <c r="F322" s="502">
        <f>SUM('[8]Szent-györgyi'!D34)</f>
        <v>203</v>
      </c>
      <c r="G322" s="502"/>
      <c r="H322" s="502"/>
      <c r="I322" s="502"/>
      <c r="J322" s="504">
        <v>2550000</v>
      </c>
      <c r="K322" s="503"/>
      <c r="L322" s="502">
        <f>SUM('[8]Szent-györgyi segéd'!M32)</f>
        <v>9860000</v>
      </c>
      <c r="M322" s="388">
        <f t="shared" si="14"/>
        <v>9860000</v>
      </c>
    </row>
    <row r="323" spans="1:13" ht="12.75">
      <c r="A323" s="493">
        <v>14</v>
      </c>
      <c r="B323" s="523" t="s">
        <v>61</v>
      </c>
      <c r="C323" s="1164" t="s">
        <v>1472</v>
      </c>
      <c r="D323" s="504"/>
      <c r="E323" s="503"/>
      <c r="F323" s="502">
        <f>SUM('[8]Szent-györgyi'!D35)</f>
        <v>100</v>
      </c>
      <c r="G323" s="502"/>
      <c r="H323" s="502"/>
      <c r="I323" s="502"/>
      <c r="J323" s="504">
        <v>2550000</v>
      </c>
      <c r="K323" s="503"/>
      <c r="L323" s="502">
        <f>SUM('[8]Szent-györgyi segéd'!M33)</f>
        <v>6100000</v>
      </c>
      <c r="M323" s="388">
        <f t="shared" si="14"/>
        <v>6100000</v>
      </c>
    </row>
    <row r="324" spans="1:13" ht="12.75">
      <c r="A324" s="493">
        <v>14</v>
      </c>
      <c r="B324" s="523" t="s">
        <v>61</v>
      </c>
      <c r="C324" s="1164" t="s">
        <v>1473</v>
      </c>
      <c r="D324" s="504"/>
      <c r="E324" s="503"/>
      <c r="F324" s="502">
        <f>SUM('[8]Szent-györgyi'!D36)</f>
        <v>99</v>
      </c>
      <c r="G324" s="502"/>
      <c r="H324" s="502"/>
      <c r="I324" s="502"/>
      <c r="J324" s="504">
        <v>2550000</v>
      </c>
      <c r="K324" s="503"/>
      <c r="L324" s="502">
        <f>SUM('[8]Szent-györgyi segéd'!M34)</f>
        <v>7310531.249999999</v>
      </c>
      <c r="M324" s="388">
        <f t="shared" si="14"/>
        <v>7310531.249999999</v>
      </c>
    </row>
    <row r="325" spans="1:13" ht="12.75">
      <c r="A325" s="493">
        <v>14</v>
      </c>
      <c r="B325" s="523" t="s">
        <v>61</v>
      </c>
      <c r="C325" s="1164" t="s">
        <v>1474</v>
      </c>
      <c r="D325" s="504"/>
      <c r="E325" s="503"/>
      <c r="F325" s="502">
        <f>SUM('[8]Szent-györgyi'!D37)</f>
        <v>189</v>
      </c>
      <c r="G325" s="502"/>
      <c r="H325" s="502"/>
      <c r="I325" s="502"/>
      <c r="J325" s="504">
        <v>2550000</v>
      </c>
      <c r="K325" s="503"/>
      <c r="L325" s="502">
        <f>SUM('[8]Szent-györgyi segéd'!M35)</f>
        <v>10826413.043478262</v>
      </c>
      <c r="M325" s="388">
        <f t="shared" si="14"/>
        <v>10826413.043478262</v>
      </c>
    </row>
    <row r="326" spans="1:13" ht="12.75">
      <c r="A326" s="493">
        <v>14</v>
      </c>
      <c r="B326" s="523" t="s">
        <v>61</v>
      </c>
      <c r="C326" s="1164" t="s">
        <v>1476</v>
      </c>
      <c r="D326" s="504"/>
      <c r="E326" s="503"/>
      <c r="F326" s="502">
        <f>SUM('[8]Szent-györgyi'!D38)</f>
        <v>231</v>
      </c>
      <c r="G326" s="502"/>
      <c r="H326" s="502"/>
      <c r="I326" s="502"/>
      <c r="J326" s="504">
        <v>2550000</v>
      </c>
      <c r="K326" s="503"/>
      <c r="L326" s="502">
        <f>SUM('[8]Szent-györgyi segéd'!M36)</f>
        <v>17278800.000000004</v>
      </c>
      <c r="M326" s="388">
        <f t="shared" si="14"/>
        <v>17278800.000000004</v>
      </c>
    </row>
    <row r="327" spans="1:13" ht="12.75">
      <c r="A327" s="492">
        <v>14</v>
      </c>
      <c r="B327" s="523" t="s">
        <v>61</v>
      </c>
      <c r="C327" s="1165" t="s">
        <v>721</v>
      </c>
      <c r="D327" s="505"/>
      <c r="E327" s="502">
        <f>SUM('[8]Szent-györgyi'!C100)</f>
        <v>276</v>
      </c>
      <c r="F327" s="510"/>
      <c r="G327" s="506"/>
      <c r="H327" s="506"/>
      <c r="I327" s="508">
        <f>E327/12*8</f>
        <v>184</v>
      </c>
      <c r="J327" s="509">
        <v>23000</v>
      </c>
      <c r="K327" s="502">
        <f>I327*J327</f>
        <v>4232000</v>
      </c>
      <c r="L327" s="503"/>
      <c r="M327" s="388">
        <f t="shared" si="14"/>
        <v>4232000</v>
      </c>
    </row>
    <row r="328" spans="1:13" ht="12.75">
      <c r="A328" s="492">
        <v>14</v>
      </c>
      <c r="B328" s="523" t="s">
        <v>61</v>
      </c>
      <c r="C328" s="1167" t="s">
        <v>1475</v>
      </c>
      <c r="D328" s="104"/>
      <c r="E328" s="503"/>
      <c r="F328" s="502">
        <f>SUM('[8]Szent-györgyi'!D103)</f>
        <v>118</v>
      </c>
      <c r="G328" s="502"/>
      <c r="H328" s="502"/>
      <c r="I328" s="502"/>
      <c r="J328" s="504">
        <v>2550000</v>
      </c>
      <c r="K328" s="503"/>
      <c r="L328" s="502">
        <f>SUM('[8]Szent-györgyi segéd'!M44)</f>
        <v>935000</v>
      </c>
      <c r="M328" s="388">
        <f t="shared" si="14"/>
        <v>935000</v>
      </c>
    </row>
    <row r="329" spans="1:13" ht="13.5" customHeight="1">
      <c r="A329" s="492">
        <v>14</v>
      </c>
      <c r="B329" s="523" t="s">
        <v>61</v>
      </c>
      <c r="C329" s="1167" t="s">
        <v>581</v>
      </c>
      <c r="D329" s="104"/>
      <c r="E329" s="503"/>
      <c r="F329" s="502">
        <f>SUM('[8]Szent-györgyi'!D104)</f>
        <v>20</v>
      </c>
      <c r="G329" s="502"/>
      <c r="H329" s="502"/>
      <c r="I329" s="502"/>
      <c r="J329" s="504">
        <v>2550000</v>
      </c>
      <c r="K329" s="503"/>
      <c r="L329" s="502">
        <f>SUM('[8]Szent-györgyi segéd'!M45)</f>
        <v>108800</v>
      </c>
      <c r="M329" s="388">
        <f t="shared" si="14"/>
        <v>108800</v>
      </c>
    </row>
    <row r="330" spans="1:13" ht="50.25" customHeight="1">
      <c r="A330" s="492">
        <v>14</v>
      </c>
      <c r="B330" s="523" t="s">
        <v>61</v>
      </c>
      <c r="C330" s="1165" t="s">
        <v>585</v>
      </c>
      <c r="D330" s="509"/>
      <c r="E330" s="506">
        <f>SUM('[8]Szent-györgyi'!C134)</f>
        <v>7</v>
      </c>
      <c r="F330" s="506">
        <f>SUM('[8]Szent-györgyi'!D138)</f>
        <v>5</v>
      </c>
      <c r="G330" s="507">
        <f>E330*8/12</f>
        <v>4.666666666666667</v>
      </c>
      <c r="H330" s="507">
        <f>F330*4/12</f>
        <v>1.6666666666666667</v>
      </c>
      <c r="I330" s="508">
        <f>SUM(G330:H330)</f>
        <v>6.333333333333334</v>
      </c>
      <c r="J330" s="509">
        <v>240000</v>
      </c>
      <c r="K330" s="502">
        <f>G330*J330</f>
        <v>1120000</v>
      </c>
      <c r="L330" s="502">
        <f>H330*J330</f>
        <v>400000</v>
      </c>
      <c r="M330" s="388">
        <f t="shared" si="14"/>
        <v>1520000</v>
      </c>
    </row>
    <row r="331" spans="1:13" ht="51">
      <c r="A331" s="492">
        <v>14</v>
      </c>
      <c r="B331" s="523" t="s">
        <v>61</v>
      </c>
      <c r="C331" s="1165" t="s">
        <v>341</v>
      </c>
      <c r="D331" s="509"/>
      <c r="E331" s="506">
        <f>SUM('[8]Szent-györgyi'!C146)</f>
        <v>3</v>
      </c>
      <c r="F331" s="506">
        <f>SUM('[8]Szent-györgyi'!D151)</f>
        <v>3</v>
      </c>
      <c r="G331" s="507">
        <f>E331*8/12</f>
        <v>2</v>
      </c>
      <c r="H331" s="507">
        <f>F331*4/12</f>
        <v>1</v>
      </c>
      <c r="I331" s="508">
        <f>SUM(G331:H331)</f>
        <v>3</v>
      </c>
      <c r="J331" s="509">
        <v>384000</v>
      </c>
      <c r="K331" s="502">
        <f>G331*J331</f>
        <v>768000</v>
      </c>
      <c r="L331" s="502">
        <f>H331*J331</f>
        <v>384000</v>
      </c>
      <c r="M331" s="388">
        <f t="shared" si="14"/>
        <v>1152000</v>
      </c>
    </row>
    <row r="332" spans="1:13" ht="51">
      <c r="A332" s="492">
        <v>14</v>
      </c>
      <c r="B332" s="523" t="s">
        <v>61</v>
      </c>
      <c r="C332" s="1165" t="s">
        <v>716</v>
      </c>
      <c r="D332" s="509"/>
      <c r="E332" s="506">
        <f>SUM('[8]Szent-györgyi'!C159)</f>
        <v>124</v>
      </c>
      <c r="F332" s="503"/>
      <c r="G332" s="507">
        <f>E332*8/12</f>
        <v>82.66666666666667</v>
      </c>
      <c r="H332" s="511"/>
      <c r="I332" s="508">
        <f>SUM(G332:H332)</f>
        <v>82.66666666666667</v>
      </c>
      <c r="J332" s="509">
        <v>192000</v>
      </c>
      <c r="K332" s="502">
        <f>G332*J332</f>
        <v>15872000</v>
      </c>
      <c r="L332" s="503"/>
      <c r="M332" s="388">
        <f t="shared" si="14"/>
        <v>15872000</v>
      </c>
    </row>
    <row r="333" spans="1:13" ht="42.75" customHeight="1">
      <c r="A333" s="492">
        <v>14</v>
      </c>
      <c r="B333" s="523" t="s">
        <v>61</v>
      </c>
      <c r="C333" s="1165" t="s">
        <v>1336</v>
      </c>
      <c r="D333" s="505"/>
      <c r="E333" s="510"/>
      <c r="F333" s="506">
        <f>SUM('[8]Szent-györgyi'!D165)</f>
        <v>4</v>
      </c>
      <c r="G333" s="506"/>
      <c r="H333" s="507">
        <f>F333*4/12</f>
        <v>1.3333333333333333</v>
      </c>
      <c r="I333" s="508">
        <f>SUM(G333:H333)</f>
        <v>1.3333333333333333</v>
      </c>
      <c r="J333" s="509">
        <v>192000</v>
      </c>
      <c r="K333" s="510"/>
      <c r="L333" s="502">
        <f>H333*J333</f>
        <v>256000</v>
      </c>
      <c r="M333" s="388">
        <f t="shared" si="14"/>
        <v>256000</v>
      </c>
    </row>
    <row r="334" spans="1:13" ht="38.25">
      <c r="A334" s="492">
        <v>14</v>
      </c>
      <c r="B334" s="523" t="s">
        <v>61</v>
      </c>
      <c r="C334" s="1165" t="s">
        <v>1337</v>
      </c>
      <c r="D334" s="505"/>
      <c r="E334" s="510"/>
      <c r="F334" s="506">
        <f>SUM('[8]Szent-györgyi'!D171)</f>
        <v>90</v>
      </c>
      <c r="G334" s="506"/>
      <c r="H334" s="507">
        <f>F334*4/12</f>
        <v>30</v>
      </c>
      <c r="I334" s="508">
        <f>SUM(G334:H334)</f>
        <v>30</v>
      </c>
      <c r="J334" s="509">
        <v>144000</v>
      </c>
      <c r="K334" s="510"/>
      <c r="L334" s="506">
        <f>I334*J334</f>
        <v>4320000</v>
      </c>
      <c r="M334" s="388">
        <f t="shared" si="14"/>
        <v>4320000</v>
      </c>
    </row>
    <row r="335" spans="1:13" ht="25.5">
      <c r="A335" s="492">
        <v>14</v>
      </c>
      <c r="B335" s="523" t="s">
        <v>61</v>
      </c>
      <c r="C335" s="1165" t="s">
        <v>1508</v>
      </c>
      <c r="D335" s="505"/>
      <c r="E335" s="1273">
        <f>SUM('[8]Szent-györgyi'!C258)</f>
        <v>230</v>
      </c>
      <c r="F335" s="1273">
        <f>SUM('[8]Szent-györgyi'!D264)</f>
        <v>0</v>
      </c>
      <c r="G335" s="506"/>
      <c r="H335" s="506"/>
      <c r="I335" s="508">
        <f>SUM(E335:F335)</f>
        <v>230</v>
      </c>
      <c r="J335" s="509">
        <v>55000</v>
      </c>
      <c r="K335" s="502"/>
      <c r="L335" s="502"/>
      <c r="M335" s="388">
        <f>I335*J335</f>
        <v>12650000</v>
      </c>
    </row>
    <row r="336" spans="1:13" ht="38.25">
      <c r="A336" s="492">
        <v>14</v>
      </c>
      <c r="B336" s="523" t="s">
        <v>61</v>
      </c>
      <c r="C336" s="1165" t="s">
        <v>586</v>
      </c>
      <c r="D336" s="505"/>
      <c r="E336" s="1274"/>
      <c r="F336" s="1273">
        <f>SUM('[8]Szent-györgyi'!D267)</f>
        <v>25</v>
      </c>
      <c r="G336" s="525"/>
      <c r="H336" s="525"/>
      <c r="I336" s="508">
        <f>F336</f>
        <v>25</v>
      </c>
      <c r="J336" s="509">
        <v>16000</v>
      </c>
      <c r="K336" s="502"/>
      <c r="L336" s="502"/>
      <c r="M336" s="388">
        <f>I336*J336</f>
        <v>400000</v>
      </c>
    </row>
    <row r="337" spans="1:13" ht="12.75">
      <c r="A337" s="492">
        <v>14</v>
      </c>
      <c r="B337" s="523" t="s">
        <v>61</v>
      </c>
      <c r="C337" s="1165" t="s">
        <v>1509</v>
      </c>
      <c r="D337" s="505"/>
      <c r="E337" s="1285"/>
      <c r="F337" s="1273">
        <f>SUM('[8]Szent-györgyi'!D269)</f>
        <v>346</v>
      </c>
      <c r="G337" s="506"/>
      <c r="H337" s="506"/>
      <c r="I337" s="508">
        <f>F337</f>
        <v>346</v>
      </c>
      <c r="J337" s="509">
        <v>10000</v>
      </c>
      <c r="K337" s="503"/>
      <c r="L337" s="502"/>
      <c r="M337" s="388">
        <f>I337*J337</f>
        <v>3460000</v>
      </c>
    </row>
    <row r="338" spans="1:13" ht="12.75">
      <c r="A338" s="492">
        <v>14</v>
      </c>
      <c r="B338" s="526" t="s">
        <v>61</v>
      </c>
      <c r="C338" s="1166" t="s">
        <v>878</v>
      </c>
      <c r="D338" s="514"/>
      <c r="E338" s="1286"/>
      <c r="F338" s="1272">
        <f>SUM('[8]Szent-györgyi'!D270)</f>
        <v>822</v>
      </c>
      <c r="G338" s="515"/>
      <c r="H338" s="515"/>
      <c r="I338" s="516">
        <f>F338</f>
        <v>822</v>
      </c>
      <c r="J338" s="517">
        <v>1000</v>
      </c>
      <c r="K338" s="528"/>
      <c r="L338" s="518"/>
      <c r="M338" s="519">
        <f>I338*J338</f>
        <v>822000</v>
      </c>
    </row>
    <row r="339" spans="2:13" ht="14.25">
      <c r="B339" s="1425" t="s">
        <v>1411</v>
      </c>
      <c r="C339" s="1426"/>
      <c r="D339" s="1426"/>
      <c r="E339" s="1426"/>
      <c r="F339" s="1426"/>
      <c r="G339" s="1426"/>
      <c r="H339" s="1426"/>
      <c r="I339" s="1427"/>
      <c r="J339" s="466"/>
      <c r="K339" s="529"/>
      <c r="L339" s="530"/>
      <c r="M339" s="521">
        <f>SUM(M316:M338)</f>
        <v>206843731.79347825</v>
      </c>
    </row>
    <row r="340" spans="1:13" ht="12.75">
      <c r="A340" s="493">
        <v>15</v>
      </c>
      <c r="B340" s="327" t="s">
        <v>62</v>
      </c>
      <c r="C340" s="1163" t="s">
        <v>1477</v>
      </c>
      <c r="D340" s="498"/>
      <c r="E340" s="497">
        <f>SUM('[8]Verseghy'!C41)</f>
        <v>128</v>
      </c>
      <c r="F340" s="541"/>
      <c r="G340" s="497"/>
      <c r="H340" s="497"/>
      <c r="I340" s="497"/>
      <c r="J340" s="498">
        <v>2550000</v>
      </c>
      <c r="K340" s="497">
        <f>SUM('[8]Verseghy segéd'!M17)</f>
        <v>18107428.57142857</v>
      </c>
      <c r="L340" s="496"/>
      <c r="M340" s="499">
        <f aca="true" t="shared" si="15" ref="M340:M348">SUM(K340:L340)</f>
        <v>18107428.57142857</v>
      </c>
    </row>
    <row r="341" spans="1:13" ht="12.75">
      <c r="A341" s="493">
        <v>15</v>
      </c>
      <c r="B341" s="48" t="s">
        <v>62</v>
      </c>
      <c r="C341" s="1164" t="s">
        <v>1478</v>
      </c>
      <c r="D341" s="504"/>
      <c r="E341" s="502">
        <f>SUM('[8]Verseghy'!C42)</f>
        <v>132</v>
      </c>
      <c r="F341" s="538"/>
      <c r="G341" s="502"/>
      <c r="H341" s="502"/>
      <c r="I341" s="502"/>
      <c r="J341" s="504">
        <v>2550000</v>
      </c>
      <c r="K341" s="502">
        <f>SUM('[8]Verseghy segéd'!M18)</f>
        <v>20109692.307692308</v>
      </c>
      <c r="L341" s="503"/>
      <c r="M341" s="388">
        <f t="shared" si="15"/>
        <v>20109692.307692308</v>
      </c>
    </row>
    <row r="342" spans="1:13" ht="12.75">
      <c r="A342" s="493">
        <v>15</v>
      </c>
      <c r="B342" s="48" t="s">
        <v>62</v>
      </c>
      <c r="C342" s="1164" t="s">
        <v>969</v>
      </c>
      <c r="D342" s="504"/>
      <c r="E342" s="502">
        <f>SUM('[8]Verseghy'!C43)</f>
        <v>280</v>
      </c>
      <c r="F342" s="538"/>
      <c r="G342" s="502"/>
      <c r="H342" s="502"/>
      <c r="I342" s="502"/>
      <c r="J342" s="504">
        <v>2550000</v>
      </c>
      <c r="K342" s="502">
        <f>SUM('[8]Verseghy segéd'!M19)</f>
        <v>50490000</v>
      </c>
      <c r="L342" s="503"/>
      <c r="M342" s="388">
        <f t="shared" si="15"/>
        <v>50490000</v>
      </c>
    </row>
    <row r="343" spans="1:13" ht="12.75">
      <c r="A343" s="493">
        <v>15</v>
      </c>
      <c r="B343" s="48" t="s">
        <v>62</v>
      </c>
      <c r="C343" s="1164" t="s">
        <v>757</v>
      </c>
      <c r="D343" s="504"/>
      <c r="E343" s="503"/>
      <c r="F343" s="502">
        <f>SUM('[8]Verseghy'!D45)</f>
        <v>256</v>
      </c>
      <c r="G343" s="502"/>
      <c r="H343" s="502"/>
      <c r="I343" s="502"/>
      <c r="J343" s="504">
        <v>2550000</v>
      </c>
      <c r="K343" s="503"/>
      <c r="L343" s="502">
        <f>SUM('[8]Verseghy segéd'!M37)</f>
        <v>18105000</v>
      </c>
      <c r="M343" s="388">
        <f t="shared" si="15"/>
        <v>18105000</v>
      </c>
    </row>
    <row r="344" spans="1:13" ht="12.75">
      <c r="A344" s="493">
        <v>15</v>
      </c>
      <c r="B344" s="48" t="s">
        <v>62</v>
      </c>
      <c r="C344" s="1164" t="s">
        <v>758</v>
      </c>
      <c r="D344" s="504"/>
      <c r="E344" s="503"/>
      <c r="F344" s="502">
        <f>SUM('[8]Verseghy'!D46)</f>
        <v>280</v>
      </c>
      <c r="G344" s="502"/>
      <c r="H344" s="502"/>
      <c r="I344" s="502"/>
      <c r="J344" s="504">
        <v>2550000</v>
      </c>
      <c r="K344" s="503"/>
      <c r="L344" s="502">
        <f>SUM('[8]Verseghy segéd'!M38)</f>
        <v>25264615.384615388</v>
      </c>
      <c r="M344" s="388">
        <f t="shared" si="15"/>
        <v>25264615.384615388</v>
      </c>
    </row>
    <row r="345" spans="1:13" ht="51">
      <c r="A345" s="492">
        <v>15</v>
      </c>
      <c r="B345" s="523" t="s">
        <v>62</v>
      </c>
      <c r="C345" s="1165" t="s">
        <v>1335</v>
      </c>
      <c r="D345" s="509"/>
      <c r="E345" s="506">
        <f>SUM('[8]Verseghy'!C160)</f>
        <v>4</v>
      </c>
      <c r="F345" s="503"/>
      <c r="G345" s="507">
        <f>E345*8/12</f>
        <v>2.6666666666666665</v>
      </c>
      <c r="H345" s="511"/>
      <c r="I345" s="508">
        <f>SUM(G345:H345)</f>
        <v>2.6666666666666665</v>
      </c>
      <c r="J345" s="509">
        <v>192000</v>
      </c>
      <c r="K345" s="502">
        <f>G345*J345</f>
        <v>512000</v>
      </c>
      <c r="L345" s="503"/>
      <c r="M345" s="388">
        <f t="shared" si="15"/>
        <v>512000</v>
      </c>
    </row>
    <row r="346" spans="1:13" ht="38.25">
      <c r="A346" s="492">
        <v>15</v>
      </c>
      <c r="B346" s="523" t="s">
        <v>62</v>
      </c>
      <c r="C346" s="1165" t="s">
        <v>1337</v>
      </c>
      <c r="D346" s="505"/>
      <c r="E346" s="510"/>
      <c r="F346" s="506">
        <f>SUM('[8]Verseghy'!D172)</f>
        <v>4</v>
      </c>
      <c r="G346" s="506"/>
      <c r="H346" s="507">
        <f>F346*4/12</f>
        <v>1.3333333333333333</v>
      </c>
      <c r="I346" s="508">
        <f>SUM(G346:H346)</f>
        <v>1.3333333333333333</v>
      </c>
      <c r="J346" s="509">
        <v>144000</v>
      </c>
      <c r="K346" s="510"/>
      <c r="L346" s="506">
        <f>I346*J346</f>
        <v>192000</v>
      </c>
      <c r="M346" s="388">
        <f t="shared" si="15"/>
        <v>192000</v>
      </c>
    </row>
    <row r="347" spans="1:13" ht="12.75">
      <c r="A347" s="492">
        <v>15</v>
      </c>
      <c r="B347" s="48" t="s">
        <v>62</v>
      </c>
      <c r="C347" s="1165" t="s">
        <v>1480</v>
      </c>
      <c r="D347" s="505"/>
      <c r="E347" s="506">
        <f>SUM('[8]Verseghy'!C237)</f>
        <v>115</v>
      </c>
      <c r="F347" s="506"/>
      <c r="G347" s="502">
        <f>E347*8/12</f>
        <v>76.66666666666667</v>
      </c>
      <c r="H347" s="502">
        <f>F347*4/12</f>
        <v>0</v>
      </c>
      <c r="I347" s="512">
        <f>ROUND(SUM(G347:H347),0)</f>
        <v>77</v>
      </c>
      <c r="J347" s="509">
        <v>15000</v>
      </c>
      <c r="K347" s="502">
        <f>G347*J347</f>
        <v>1150000</v>
      </c>
      <c r="L347" s="502">
        <f>H347*J347</f>
        <v>0</v>
      </c>
      <c r="M347" s="388">
        <f t="shared" si="15"/>
        <v>1150000</v>
      </c>
    </row>
    <row r="348" spans="1:13" ht="12.75">
      <c r="A348" s="492">
        <v>15</v>
      </c>
      <c r="B348" s="542" t="s">
        <v>62</v>
      </c>
      <c r="C348" s="1165" t="s">
        <v>964</v>
      </c>
      <c r="D348" s="509"/>
      <c r="E348" s="506"/>
      <c r="F348" s="506">
        <v>115</v>
      </c>
      <c r="G348" s="506"/>
      <c r="H348" s="506">
        <v>38.333333333333336</v>
      </c>
      <c r="I348" s="539">
        <f>F348/12*4</f>
        <v>38.333333333333336</v>
      </c>
      <c r="J348" s="509">
        <v>18000</v>
      </c>
      <c r="K348" s="506"/>
      <c r="L348" s="506">
        <v>690000</v>
      </c>
      <c r="M348" s="540">
        <f t="shared" si="15"/>
        <v>690000</v>
      </c>
    </row>
    <row r="349" spans="1:13" ht="25.5">
      <c r="A349" s="492">
        <v>15</v>
      </c>
      <c r="B349" s="48" t="s">
        <v>62</v>
      </c>
      <c r="C349" s="1165" t="s">
        <v>1508</v>
      </c>
      <c r="D349" s="505"/>
      <c r="E349" s="1273">
        <f>SUM('[8]Verseghy'!C259)</f>
        <v>79</v>
      </c>
      <c r="F349" s="1273">
        <f>SUM('[8]Verseghy'!D265)</f>
        <v>0</v>
      </c>
      <c r="G349" s="506"/>
      <c r="H349" s="506"/>
      <c r="I349" s="508">
        <f>SUM(E349:F349)</f>
        <v>79</v>
      </c>
      <c r="J349" s="509">
        <v>55000</v>
      </c>
      <c r="K349" s="502"/>
      <c r="L349" s="502"/>
      <c r="M349" s="388">
        <f>I349*J349</f>
        <v>4345000</v>
      </c>
    </row>
    <row r="350" spans="1:13" ht="12.75">
      <c r="A350" s="492">
        <v>15</v>
      </c>
      <c r="B350" s="48" t="s">
        <v>62</v>
      </c>
      <c r="C350" s="1165" t="s">
        <v>1509</v>
      </c>
      <c r="D350" s="505"/>
      <c r="E350" s="1285"/>
      <c r="F350" s="1273">
        <f>SUM('[8]Verseghy'!D269)</f>
        <v>120</v>
      </c>
      <c r="G350" s="506"/>
      <c r="H350" s="506"/>
      <c r="I350" s="508">
        <f>F350</f>
        <v>120</v>
      </c>
      <c r="J350" s="509">
        <v>10000</v>
      </c>
      <c r="K350" s="503"/>
      <c r="L350" s="502"/>
      <c r="M350" s="388">
        <f>I350*J350</f>
        <v>1200000</v>
      </c>
    </row>
    <row r="351" spans="1:13" ht="12.75">
      <c r="A351" s="492">
        <v>15</v>
      </c>
      <c r="B351" s="543" t="s">
        <v>62</v>
      </c>
      <c r="C351" s="1166" t="s">
        <v>878</v>
      </c>
      <c r="D351" s="514"/>
      <c r="E351" s="1286"/>
      <c r="F351" s="1272">
        <f>SUM('[8]Verseghy'!D270)</f>
        <v>536</v>
      </c>
      <c r="G351" s="515"/>
      <c r="H351" s="515"/>
      <c r="I351" s="516">
        <f>F351</f>
        <v>536</v>
      </c>
      <c r="J351" s="517">
        <v>1000</v>
      </c>
      <c r="K351" s="528"/>
      <c r="L351" s="518"/>
      <c r="M351" s="519">
        <f>I351*J351</f>
        <v>536000</v>
      </c>
    </row>
    <row r="352" spans="2:13" ht="14.25">
      <c r="B352" s="1428" t="s">
        <v>881</v>
      </c>
      <c r="C352" s="1417"/>
      <c r="D352" s="1417"/>
      <c r="E352" s="1417"/>
      <c r="F352" s="1417"/>
      <c r="G352" s="1417"/>
      <c r="H352" s="1417"/>
      <c r="I352" s="1418"/>
      <c r="J352" s="466"/>
      <c r="K352" s="529"/>
      <c r="L352" s="530"/>
      <c r="M352" s="521">
        <f>SUM(M340:M351)</f>
        <v>140701736.26373628</v>
      </c>
    </row>
    <row r="353" spans="1:13" ht="12.75">
      <c r="A353" s="493">
        <v>16</v>
      </c>
      <c r="B353" s="327" t="s">
        <v>63</v>
      </c>
      <c r="C353" s="1163" t="s">
        <v>1477</v>
      </c>
      <c r="D353" s="498"/>
      <c r="E353" s="497">
        <f>SUM('[8]Varga'!C41)</f>
        <v>120</v>
      </c>
      <c r="F353" s="541"/>
      <c r="G353" s="497"/>
      <c r="H353" s="497"/>
      <c r="I353" s="497"/>
      <c r="J353" s="498">
        <v>2550000</v>
      </c>
      <c r="K353" s="497">
        <f>SUM('[8]Varga segéd'!M17)</f>
        <v>16975714.285714287</v>
      </c>
      <c r="L353" s="496"/>
      <c r="M353" s="499">
        <f aca="true" t="shared" si="16" ref="M353:M364">SUM(K353:L353)</f>
        <v>16975714.285714287</v>
      </c>
    </row>
    <row r="354" spans="1:13" ht="12.75">
      <c r="A354" s="493">
        <v>16</v>
      </c>
      <c r="B354" s="48" t="s">
        <v>63</v>
      </c>
      <c r="C354" s="1164" t="s">
        <v>1478</v>
      </c>
      <c r="D354" s="504"/>
      <c r="E354" s="502">
        <f>SUM('[8]Varga'!C42)</f>
        <v>135</v>
      </c>
      <c r="F354" s="538"/>
      <c r="G354" s="502"/>
      <c r="H354" s="502"/>
      <c r="I354" s="502"/>
      <c r="J354" s="504">
        <v>2550000</v>
      </c>
      <c r="K354" s="502">
        <f>SUM('[8]Varga segéd'!M18)</f>
        <v>20566730.76923077</v>
      </c>
      <c r="L354" s="503"/>
      <c r="M354" s="388">
        <f t="shared" si="16"/>
        <v>20566730.76923077</v>
      </c>
    </row>
    <row r="355" spans="1:13" ht="12.75">
      <c r="A355" s="493">
        <v>16</v>
      </c>
      <c r="B355" s="48" t="s">
        <v>63</v>
      </c>
      <c r="C355" s="1164" t="s">
        <v>969</v>
      </c>
      <c r="D355" s="504"/>
      <c r="E355" s="502">
        <f>SUM('[8]Varga'!C43)</f>
        <v>261</v>
      </c>
      <c r="F355" s="538"/>
      <c r="G355" s="502"/>
      <c r="H355" s="502"/>
      <c r="I355" s="502"/>
      <c r="J355" s="504">
        <v>2550000</v>
      </c>
      <c r="K355" s="502">
        <f>SUM('[8]Varga segéd'!M19)</f>
        <v>47090000</v>
      </c>
      <c r="L355" s="503"/>
      <c r="M355" s="388">
        <f t="shared" si="16"/>
        <v>47090000</v>
      </c>
    </row>
    <row r="356" spans="1:13" ht="12.75">
      <c r="A356" s="493">
        <v>16</v>
      </c>
      <c r="B356" s="48" t="s">
        <v>63</v>
      </c>
      <c r="C356" s="1164" t="s">
        <v>757</v>
      </c>
      <c r="D356" s="504"/>
      <c r="E356" s="503"/>
      <c r="F356" s="502">
        <f>SUM('[8]Varga'!D45)</f>
        <v>240</v>
      </c>
      <c r="G356" s="502"/>
      <c r="H356" s="502"/>
      <c r="I356" s="502"/>
      <c r="J356" s="504">
        <v>2550000</v>
      </c>
      <c r="K356" s="503"/>
      <c r="L356" s="502">
        <f>SUM('[8]Varga segéd'!M37)</f>
        <v>17000000</v>
      </c>
      <c r="M356" s="388">
        <f t="shared" si="16"/>
        <v>17000000</v>
      </c>
    </row>
    <row r="357" spans="1:13" ht="12.75">
      <c r="A357" s="493">
        <v>16</v>
      </c>
      <c r="B357" s="48" t="s">
        <v>63</v>
      </c>
      <c r="C357" s="1164" t="s">
        <v>758</v>
      </c>
      <c r="D357" s="504"/>
      <c r="E357" s="503"/>
      <c r="F357" s="502">
        <f>SUM('[8]Varga'!D46)</f>
        <v>281</v>
      </c>
      <c r="G357" s="502"/>
      <c r="H357" s="502"/>
      <c r="I357" s="502"/>
      <c r="J357" s="504">
        <v>2550000</v>
      </c>
      <c r="K357" s="503"/>
      <c r="L357" s="502">
        <f>SUM('[8]Varga segéd'!M38)</f>
        <v>25354846.153846156</v>
      </c>
      <c r="M357" s="388">
        <f t="shared" si="16"/>
        <v>25354846.153846156</v>
      </c>
    </row>
    <row r="358" spans="1:13" ht="51">
      <c r="A358" s="492">
        <v>16</v>
      </c>
      <c r="B358" s="523" t="s">
        <v>63</v>
      </c>
      <c r="C358" s="1165" t="s">
        <v>1335</v>
      </c>
      <c r="D358" s="509"/>
      <c r="E358" s="506">
        <f>SUM('[8]Varga'!C160)</f>
        <v>3</v>
      </c>
      <c r="F358" s="503"/>
      <c r="G358" s="507">
        <f>E358*8/12</f>
        <v>2</v>
      </c>
      <c r="H358" s="511"/>
      <c r="I358" s="508">
        <f>SUM(G358:H358)</f>
        <v>2</v>
      </c>
      <c r="J358" s="509">
        <v>192000</v>
      </c>
      <c r="K358" s="502">
        <f>G358*J358</f>
        <v>384000</v>
      </c>
      <c r="L358" s="503"/>
      <c r="M358" s="388">
        <f t="shared" si="16"/>
        <v>384000</v>
      </c>
    </row>
    <row r="359" spans="1:13" ht="38.25">
      <c r="A359" s="492">
        <v>16</v>
      </c>
      <c r="B359" s="523" t="s">
        <v>63</v>
      </c>
      <c r="C359" s="1165" t="s">
        <v>1337</v>
      </c>
      <c r="D359" s="505"/>
      <c r="E359" s="510"/>
      <c r="F359" s="506">
        <f>SUM('[8]Varga'!D172)</f>
        <v>3</v>
      </c>
      <c r="G359" s="506"/>
      <c r="H359" s="507">
        <f>F359*4/12</f>
        <v>1</v>
      </c>
      <c r="I359" s="508">
        <f>SUM(G359:H359)</f>
        <v>1</v>
      </c>
      <c r="J359" s="509">
        <v>144000</v>
      </c>
      <c r="K359" s="510"/>
      <c r="L359" s="506">
        <f>I359*J359</f>
        <v>144000</v>
      </c>
      <c r="M359" s="388">
        <f t="shared" si="16"/>
        <v>144000</v>
      </c>
    </row>
    <row r="360" spans="1:13" ht="12.75">
      <c r="A360" s="492">
        <v>16</v>
      </c>
      <c r="B360" s="542" t="s">
        <v>63</v>
      </c>
      <c r="C360" s="1165" t="s">
        <v>882</v>
      </c>
      <c r="D360" s="505"/>
      <c r="E360" s="506">
        <f>SUM('[8]Varga'!C207)</f>
        <v>122</v>
      </c>
      <c r="F360" s="506">
        <f>SUM('[8]Varga'!D211)</f>
        <v>124</v>
      </c>
      <c r="G360" s="502">
        <f>E360*8/12</f>
        <v>81.33333333333333</v>
      </c>
      <c r="H360" s="502">
        <f>F360*4/12</f>
        <v>41.333333333333336</v>
      </c>
      <c r="I360" s="512">
        <f>ROUND(SUM(G360:H360),0)</f>
        <v>123</v>
      </c>
      <c r="J360" s="509">
        <v>71500</v>
      </c>
      <c r="K360" s="502">
        <f>G360*J360</f>
        <v>5815333.333333333</v>
      </c>
      <c r="L360" s="502">
        <f>H360*J360</f>
        <v>2955333.3333333335</v>
      </c>
      <c r="M360" s="388">
        <f t="shared" si="16"/>
        <v>8770666.666666666</v>
      </c>
    </row>
    <row r="361" spans="1:13" ht="25.5">
      <c r="A361" s="492">
        <v>16</v>
      </c>
      <c r="B361" s="542" t="s">
        <v>63</v>
      </c>
      <c r="C361" s="1165" t="s">
        <v>759</v>
      </c>
      <c r="D361" s="505"/>
      <c r="E361" s="506">
        <f>SUM('[8]Varga'!C227)</f>
        <v>141</v>
      </c>
      <c r="F361" s="501"/>
      <c r="G361" s="502">
        <f>E361*8/12</f>
        <v>94</v>
      </c>
      <c r="H361" s="502">
        <f>F361*4/12</f>
        <v>0</v>
      </c>
      <c r="I361" s="512">
        <f>SUM(G361:H361)</f>
        <v>94</v>
      </c>
      <c r="J361" s="509">
        <v>240000</v>
      </c>
      <c r="K361" s="502">
        <f>G361*J361</f>
        <v>22560000</v>
      </c>
      <c r="L361" s="502">
        <f>H361*J361</f>
        <v>0</v>
      </c>
      <c r="M361" s="388">
        <f t="shared" si="16"/>
        <v>22560000</v>
      </c>
    </row>
    <row r="362" spans="1:13" ht="25.5">
      <c r="A362" s="492">
        <v>16</v>
      </c>
      <c r="B362" s="542" t="s">
        <v>63</v>
      </c>
      <c r="C362" s="1165" t="s">
        <v>760</v>
      </c>
      <c r="D362" s="505"/>
      <c r="E362" s="525"/>
      <c r="F362" s="506">
        <f>SUM('[8]Varga'!D228)</f>
        <v>142</v>
      </c>
      <c r="G362" s="502">
        <f>E362*8/12</f>
        <v>0</v>
      </c>
      <c r="H362" s="502">
        <f>F362*4/12</f>
        <v>47.333333333333336</v>
      </c>
      <c r="I362" s="512">
        <f>SUM(G362:H362)</f>
        <v>47.333333333333336</v>
      </c>
      <c r="J362" s="509">
        <v>360000</v>
      </c>
      <c r="K362" s="502">
        <f>G362*J362</f>
        <v>0</v>
      </c>
      <c r="L362" s="502">
        <f>H362*J362</f>
        <v>17040000</v>
      </c>
      <c r="M362" s="388">
        <f t="shared" si="16"/>
        <v>17040000</v>
      </c>
    </row>
    <row r="363" spans="1:13" ht="12.75">
      <c r="A363" s="492">
        <v>16</v>
      </c>
      <c r="B363" s="48" t="s">
        <v>63</v>
      </c>
      <c r="C363" s="1165" t="s">
        <v>1480</v>
      </c>
      <c r="D363" s="505"/>
      <c r="E363" s="506">
        <f>SUM('[8]Varga'!C237)</f>
        <v>66</v>
      </c>
      <c r="F363" s="506"/>
      <c r="G363" s="502">
        <f>E363*8/12</f>
        <v>44</v>
      </c>
      <c r="H363" s="502">
        <f>F363*4/12</f>
        <v>0</v>
      </c>
      <c r="I363" s="512">
        <f>ROUND(SUM(G363:H363),0)</f>
        <v>44</v>
      </c>
      <c r="J363" s="509">
        <v>15000</v>
      </c>
      <c r="K363" s="502">
        <f>G363*J363</f>
        <v>660000</v>
      </c>
      <c r="L363" s="502">
        <f>H363*J363</f>
        <v>0</v>
      </c>
      <c r="M363" s="388">
        <f t="shared" si="16"/>
        <v>660000</v>
      </c>
    </row>
    <row r="364" spans="1:13" ht="12.75">
      <c r="A364" s="492">
        <v>16</v>
      </c>
      <c r="B364" s="542" t="s">
        <v>63</v>
      </c>
      <c r="C364" s="1165" t="s">
        <v>964</v>
      </c>
      <c r="D364" s="509"/>
      <c r="E364" s="506"/>
      <c r="F364" s="506">
        <v>66</v>
      </c>
      <c r="G364" s="506"/>
      <c r="H364" s="506">
        <v>22</v>
      </c>
      <c r="I364" s="1287">
        <f>F364/12*4</f>
        <v>22</v>
      </c>
      <c r="J364" s="509">
        <v>18000</v>
      </c>
      <c r="K364" s="506"/>
      <c r="L364" s="506">
        <v>396000</v>
      </c>
      <c r="M364" s="540">
        <f t="shared" si="16"/>
        <v>396000</v>
      </c>
    </row>
    <row r="365" spans="1:13" ht="25.5">
      <c r="A365" s="492">
        <v>16</v>
      </c>
      <c r="B365" s="48" t="s">
        <v>63</v>
      </c>
      <c r="C365" s="1165" t="s">
        <v>1508</v>
      </c>
      <c r="D365" s="505"/>
      <c r="E365" s="1273">
        <f>SUM('[8]Varga'!C259)</f>
        <v>42.53</v>
      </c>
      <c r="F365" s="1273">
        <f>SUM('[8]Varga'!D265)</f>
        <v>0</v>
      </c>
      <c r="G365" s="506"/>
      <c r="H365" s="506"/>
      <c r="I365" s="508">
        <f>SUM(E365:F365)</f>
        <v>42.53</v>
      </c>
      <c r="J365" s="509">
        <v>55000</v>
      </c>
      <c r="K365" s="502"/>
      <c r="L365" s="502"/>
      <c r="M365" s="388">
        <f>I365*J365</f>
        <v>2339150</v>
      </c>
    </row>
    <row r="366" spans="1:13" ht="12.75">
      <c r="A366" s="492">
        <v>16</v>
      </c>
      <c r="B366" s="48" t="s">
        <v>63</v>
      </c>
      <c r="C366" s="1165" t="s">
        <v>1509</v>
      </c>
      <c r="D366" s="505"/>
      <c r="E366" s="1285"/>
      <c r="F366" s="1273">
        <f>SUM('[8]Varga'!D269)</f>
        <v>144</v>
      </c>
      <c r="G366" s="506"/>
      <c r="H366" s="506"/>
      <c r="I366" s="508">
        <f>F366</f>
        <v>144</v>
      </c>
      <c r="J366" s="509">
        <v>10000</v>
      </c>
      <c r="K366" s="503"/>
      <c r="L366" s="502"/>
      <c r="M366" s="388">
        <f>I366*J366</f>
        <v>1440000</v>
      </c>
    </row>
    <row r="367" spans="1:13" ht="12.75">
      <c r="A367" s="492">
        <v>16</v>
      </c>
      <c r="B367" s="543" t="s">
        <v>63</v>
      </c>
      <c r="C367" s="1166" t="s">
        <v>878</v>
      </c>
      <c r="D367" s="514"/>
      <c r="E367" s="1286"/>
      <c r="F367" s="1272">
        <f>SUM('[8]Varga'!D270)</f>
        <v>521</v>
      </c>
      <c r="G367" s="515"/>
      <c r="H367" s="515"/>
      <c r="I367" s="516">
        <f>F367</f>
        <v>521</v>
      </c>
      <c r="J367" s="517">
        <v>1000</v>
      </c>
      <c r="K367" s="528"/>
      <c r="L367" s="518"/>
      <c r="M367" s="519">
        <f>I367*J367</f>
        <v>521000</v>
      </c>
    </row>
    <row r="368" spans="2:13" ht="14.25">
      <c r="B368" s="1428" t="s">
        <v>883</v>
      </c>
      <c r="C368" s="1417"/>
      <c r="D368" s="1417"/>
      <c r="E368" s="1417"/>
      <c r="F368" s="1417"/>
      <c r="G368" s="1417"/>
      <c r="H368" s="1417"/>
      <c r="I368" s="1418"/>
      <c r="J368" s="466"/>
      <c r="K368" s="529"/>
      <c r="L368" s="530"/>
      <c r="M368" s="521">
        <f>SUM(M353:M367)</f>
        <v>181242107.87545788</v>
      </c>
    </row>
    <row r="369" spans="1:13" ht="12.75">
      <c r="A369" s="493">
        <v>17</v>
      </c>
      <c r="B369" s="522" t="s">
        <v>1483</v>
      </c>
      <c r="C369" s="1163" t="s">
        <v>1477</v>
      </c>
      <c r="D369" s="498"/>
      <c r="E369" s="497">
        <f>SUM('[8]Tparti'!C41)</f>
        <v>145</v>
      </c>
      <c r="F369" s="541"/>
      <c r="G369" s="497"/>
      <c r="H369" s="497"/>
      <c r="I369" s="497"/>
      <c r="J369" s="498">
        <v>2550000</v>
      </c>
      <c r="K369" s="497">
        <f>SUM('[8]Tparti segéd'!M17)</f>
        <v>20512321.42857143</v>
      </c>
      <c r="L369" s="496"/>
      <c r="M369" s="499">
        <f aca="true" t="shared" si="17" ref="M369:M377">SUM(K369:L369)</f>
        <v>20512321.42857143</v>
      </c>
    </row>
    <row r="370" spans="1:13" ht="12.75">
      <c r="A370" s="493">
        <v>17</v>
      </c>
      <c r="B370" s="523" t="s">
        <v>1483</v>
      </c>
      <c r="C370" s="1164" t="s">
        <v>1478</v>
      </c>
      <c r="D370" s="504"/>
      <c r="E370" s="502">
        <f>SUM('[8]Tparti'!C42)</f>
        <v>174</v>
      </c>
      <c r="F370" s="538"/>
      <c r="G370" s="502"/>
      <c r="H370" s="502"/>
      <c r="I370" s="502"/>
      <c r="J370" s="504">
        <v>2550000</v>
      </c>
      <c r="K370" s="502">
        <f>SUM('[8]Tparti segéd'!M18)</f>
        <v>26508230.769230768</v>
      </c>
      <c r="L370" s="503"/>
      <c r="M370" s="388">
        <f t="shared" si="17"/>
        <v>26508230.769230768</v>
      </c>
    </row>
    <row r="371" spans="1:13" ht="12.75">
      <c r="A371" s="493">
        <v>17</v>
      </c>
      <c r="B371" s="523" t="s">
        <v>1483</v>
      </c>
      <c r="C371" s="1164" t="s">
        <v>969</v>
      </c>
      <c r="D371" s="504"/>
      <c r="E371" s="502">
        <f>SUM('[8]Tparti'!C43)</f>
        <v>320</v>
      </c>
      <c r="F371" s="538"/>
      <c r="G371" s="502"/>
      <c r="H371" s="502"/>
      <c r="I371" s="502"/>
      <c r="J371" s="504">
        <v>2550000</v>
      </c>
      <c r="K371" s="502">
        <f>SUM('[8]Tparti segéd'!M19)</f>
        <v>57800000</v>
      </c>
      <c r="L371" s="503"/>
      <c r="M371" s="388">
        <f t="shared" si="17"/>
        <v>57800000</v>
      </c>
    </row>
    <row r="372" spans="1:13" ht="12.75">
      <c r="A372" s="493">
        <v>17</v>
      </c>
      <c r="B372" s="523" t="s">
        <v>1483</v>
      </c>
      <c r="C372" s="1164" t="s">
        <v>757</v>
      </c>
      <c r="D372" s="504"/>
      <c r="E372" s="503"/>
      <c r="F372" s="502">
        <f>SUM('[8]Tparti'!D45)</f>
        <v>250</v>
      </c>
      <c r="G372" s="502"/>
      <c r="H372" s="502"/>
      <c r="I372" s="502"/>
      <c r="J372" s="504">
        <v>2550000</v>
      </c>
      <c r="K372" s="503"/>
      <c r="L372" s="502">
        <f>SUM('[8]Tparti segéd'!M37)</f>
        <v>17680000</v>
      </c>
      <c r="M372" s="388">
        <f t="shared" si="17"/>
        <v>17680000</v>
      </c>
    </row>
    <row r="373" spans="1:13" ht="12.75">
      <c r="A373" s="493">
        <v>17</v>
      </c>
      <c r="B373" s="523" t="s">
        <v>1483</v>
      </c>
      <c r="C373" s="1164" t="s">
        <v>758</v>
      </c>
      <c r="D373" s="504"/>
      <c r="E373" s="503"/>
      <c r="F373" s="502">
        <f>SUM('[8]Tparti'!D46)</f>
        <v>341</v>
      </c>
      <c r="G373" s="502"/>
      <c r="H373" s="502"/>
      <c r="I373" s="502"/>
      <c r="J373" s="504">
        <v>2550000</v>
      </c>
      <c r="K373" s="503"/>
      <c r="L373" s="502">
        <f>SUM('[8]Tparti segéd'!M38)</f>
        <v>30768692.307692304</v>
      </c>
      <c r="M373" s="388">
        <f t="shared" si="17"/>
        <v>30768692.307692304</v>
      </c>
    </row>
    <row r="374" spans="1:13" ht="51">
      <c r="A374" s="492">
        <v>17</v>
      </c>
      <c r="B374" s="523" t="s">
        <v>1483</v>
      </c>
      <c r="C374" s="1165" t="s">
        <v>341</v>
      </c>
      <c r="D374" s="509"/>
      <c r="E374" s="506">
        <f>SUM('[8]Tparti'!C146)</f>
        <v>1</v>
      </c>
      <c r="F374" s="506">
        <f>SUM('[8]Tparti'!D151)</f>
        <v>1</v>
      </c>
      <c r="G374" s="507">
        <f>E374*8/12</f>
        <v>0.6666666666666666</v>
      </c>
      <c r="H374" s="507">
        <f>F374*4/12</f>
        <v>0.3333333333333333</v>
      </c>
      <c r="I374" s="508">
        <f>SUM(G374:H374)</f>
        <v>1</v>
      </c>
      <c r="J374" s="509">
        <v>384000</v>
      </c>
      <c r="K374" s="502">
        <f>G374*J374</f>
        <v>256000</v>
      </c>
      <c r="L374" s="502">
        <f>H374*J374</f>
        <v>128000</v>
      </c>
      <c r="M374" s="388">
        <f t="shared" si="17"/>
        <v>384000</v>
      </c>
    </row>
    <row r="375" spans="1:13" ht="12.75">
      <c r="A375" s="492">
        <v>17</v>
      </c>
      <c r="B375" s="523" t="s">
        <v>1483</v>
      </c>
      <c r="C375" s="1165" t="s">
        <v>884</v>
      </c>
      <c r="D375" s="505"/>
      <c r="E375" s="506">
        <f>SUM('[8]Tparti'!C213)</f>
        <v>36</v>
      </c>
      <c r="F375" s="506">
        <f>SUM('[8]Tparti'!D214)</f>
        <v>35</v>
      </c>
      <c r="G375" s="502">
        <f>E375*8/12</f>
        <v>24</v>
      </c>
      <c r="H375" s="502">
        <f>F375*4/12</f>
        <v>11.666666666666666</v>
      </c>
      <c r="I375" s="512">
        <f>SUM(G375:H375)</f>
        <v>35.666666666666664</v>
      </c>
      <c r="J375" s="509">
        <v>71500</v>
      </c>
      <c r="K375" s="502">
        <f>G375*J375</f>
        <v>1716000</v>
      </c>
      <c r="L375" s="502">
        <f>H375*J375</f>
        <v>834166.6666666666</v>
      </c>
      <c r="M375" s="388">
        <f t="shared" si="17"/>
        <v>2550166.6666666665</v>
      </c>
    </row>
    <row r="376" spans="1:13" ht="12.75">
      <c r="A376" s="492">
        <v>17</v>
      </c>
      <c r="B376" s="523" t="s">
        <v>1483</v>
      </c>
      <c r="C376" s="1165" t="s">
        <v>1480</v>
      </c>
      <c r="D376" s="505"/>
      <c r="E376" s="506">
        <f>SUM('[8]Tparti'!C237)</f>
        <v>248</v>
      </c>
      <c r="F376" s="506"/>
      <c r="G376" s="502">
        <f>E376*8/12</f>
        <v>165.33333333333334</v>
      </c>
      <c r="H376" s="502">
        <f>F376*4/12</f>
        <v>0</v>
      </c>
      <c r="I376" s="512">
        <f>ROUND(SUM(G376:H376),0)</f>
        <v>165</v>
      </c>
      <c r="J376" s="509">
        <v>15000</v>
      </c>
      <c r="K376" s="502">
        <f>G376*J376</f>
        <v>2480000</v>
      </c>
      <c r="L376" s="502">
        <f>H376*J376</f>
        <v>0</v>
      </c>
      <c r="M376" s="388">
        <f t="shared" si="17"/>
        <v>2480000</v>
      </c>
    </row>
    <row r="377" spans="1:13" ht="12.75">
      <c r="A377" s="492">
        <v>17</v>
      </c>
      <c r="B377" s="523" t="s">
        <v>1483</v>
      </c>
      <c r="C377" s="1165" t="s">
        <v>964</v>
      </c>
      <c r="D377" s="509"/>
      <c r="E377" s="506"/>
      <c r="F377" s="506">
        <v>220</v>
      </c>
      <c r="G377" s="506"/>
      <c r="H377" s="506">
        <v>73.33333333333333</v>
      </c>
      <c r="I377" s="539">
        <f>F377/12*4</f>
        <v>73.33333333333333</v>
      </c>
      <c r="J377" s="509">
        <v>18000</v>
      </c>
      <c r="K377" s="506"/>
      <c r="L377" s="506">
        <v>1320000</v>
      </c>
      <c r="M377" s="540">
        <f t="shared" si="17"/>
        <v>1320000</v>
      </c>
    </row>
    <row r="378" spans="1:13" ht="25.5">
      <c r="A378" s="492">
        <v>17</v>
      </c>
      <c r="B378" s="523" t="s">
        <v>1483</v>
      </c>
      <c r="C378" s="1165" t="s">
        <v>1508</v>
      </c>
      <c r="D378" s="505"/>
      <c r="E378" s="1273">
        <f>SUM('[8]Tparti'!C259)</f>
        <v>75</v>
      </c>
      <c r="F378" s="1273">
        <f>SUM('[8]Tparti'!D265)</f>
        <v>0</v>
      </c>
      <c r="G378" s="506"/>
      <c r="H378" s="506"/>
      <c r="I378" s="508">
        <f>SUM(E378:F378)</f>
        <v>75</v>
      </c>
      <c r="J378" s="509">
        <v>55000</v>
      </c>
      <c r="K378" s="502"/>
      <c r="L378" s="502"/>
      <c r="M378" s="388">
        <f>I378*J378</f>
        <v>4125000</v>
      </c>
    </row>
    <row r="379" spans="1:13" ht="12.75">
      <c r="A379" s="492">
        <v>17</v>
      </c>
      <c r="B379" s="523" t="s">
        <v>1483</v>
      </c>
      <c r="C379" s="1165" t="s">
        <v>1509</v>
      </c>
      <c r="D379" s="505"/>
      <c r="E379" s="1285"/>
      <c r="F379" s="1273">
        <f>SUM('[8]Tparti'!D269)</f>
        <v>140</v>
      </c>
      <c r="G379" s="506"/>
      <c r="H379" s="506"/>
      <c r="I379" s="508">
        <f>F379</f>
        <v>140</v>
      </c>
      <c r="J379" s="509">
        <v>10000</v>
      </c>
      <c r="K379" s="503"/>
      <c r="L379" s="502"/>
      <c r="M379" s="388">
        <f>I379*J379</f>
        <v>1400000</v>
      </c>
    </row>
    <row r="380" spans="1:13" ht="12" customHeight="1">
      <c r="A380" s="492">
        <v>17</v>
      </c>
      <c r="B380" s="526" t="s">
        <v>1483</v>
      </c>
      <c r="C380" s="1166" t="s">
        <v>878</v>
      </c>
      <c r="D380" s="514"/>
      <c r="E380" s="1286"/>
      <c r="F380" s="1272">
        <f>SUM('[8]Tparti'!D270)</f>
        <v>591</v>
      </c>
      <c r="G380" s="515"/>
      <c r="H380" s="515"/>
      <c r="I380" s="516">
        <f>F380</f>
        <v>591</v>
      </c>
      <c r="J380" s="517">
        <v>1000</v>
      </c>
      <c r="K380" s="528"/>
      <c r="L380" s="518"/>
      <c r="M380" s="519">
        <f>I380*J380</f>
        <v>591000</v>
      </c>
    </row>
    <row r="381" spans="2:13" ht="15" customHeight="1">
      <c r="B381" s="1425" t="s">
        <v>1484</v>
      </c>
      <c r="C381" s="1426"/>
      <c r="D381" s="1426"/>
      <c r="E381" s="1426"/>
      <c r="F381" s="1426"/>
      <c r="G381" s="1426"/>
      <c r="H381" s="1426"/>
      <c r="I381" s="1427"/>
      <c r="J381" s="583"/>
      <c r="K381" s="1361"/>
      <c r="L381" s="1360"/>
      <c r="M381" s="1284">
        <f>SUM(M369:M380)</f>
        <v>166119411.17216116</v>
      </c>
    </row>
    <row r="382" spans="1:13" ht="12.75">
      <c r="A382" s="493">
        <v>18</v>
      </c>
      <c r="B382" s="1169" t="s">
        <v>594</v>
      </c>
      <c r="C382" s="1170" t="s">
        <v>719</v>
      </c>
      <c r="D382" s="1171"/>
      <c r="E382" s="1172">
        <f>SUM('[8]Széchenyi gimi'!C30)</f>
        <v>19</v>
      </c>
      <c r="F382" s="1173"/>
      <c r="G382" s="1172"/>
      <c r="H382" s="1172"/>
      <c r="I382" s="1172"/>
      <c r="J382" s="498">
        <v>2550000</v>
      </c>
      <c r="K382" s="497">
        <f>SUM('[8]Széchenyi gimi segéd'!M14)</f>
        <v>2210000</v>
      </c>
      <c r="L382" s="496"/>
      <c r="M382" s="499">
        <f aca="true" t="shared" si="18" ref="M382:M399">SUM(K382:L382)</f>
        <v>2210000</v>
      </c>
    </row>
    <row r="383" spans="1:13" ht="12.75">
      <c r="A383" s="493">
        <v>18</v>
      </c>
      <c r="B383" s="523" t="s">
        <v>594</v>
      </c>
      <c r="C383" s="1164" t="s">
        <v>1469</v>
      </c>
      <c r="D383" s="501"/>
      <c r="E383" s="502">
        <f>SUM('[8]Széchenyi gimi'!C31)</f>
        <v>23</v>
      </c>
      <c r="F383" s="503"/>
      <c r="G383" s="502"/>
      <c r="H383" s="502"/>
      <c r="I383" s="502"/>
      <c r="J383" s="504">
        <v>2550000</v>
      </c>
      <c r="K383" s="502">
        <f>SUM('[8]Széchenyi gimi segéd'!M15)</f>
        <v>3030250</v>
      </c>
      <c r="L383" s="503"/>
      <c r="M383" s="388">
        <f t="shared" si="18"/>
        <v>3030250</v>
      </c>
    </row>
    <row r="384" spans="1:13" ht="12.75">
      <c r="A384" s="493">
        <v>18</v>
      </c>
      <c r="B384" s="523" t="s">
        <v>594</v>
      </c>
      <c r="C384" s="1164" t="s">
        <v>1470</v>
      </c>
      <c r="D384" s="501"/>
      <c r="E384" s="502">
        <f>SUM('[8]Széchenyi gimi'!C32)</f>
        <v>51</v>
      </c>
      <c r="F384" s="503"/>
      <c r="G384" s="502"/>
      <c r="H384" s="502"/>
      <c r="I384" s="502"/>
      <c r="J384" s="504">
        <v>2550000</v>
      </c>
      <c r="K384" s="502">
        <f>SUM('[8]Széchenyi gimi segéd'!M16)</f>
        <v>7650000</v>
      </c>
      <c r="L384" s="503"/>
      <c r="M384" s="388">
        <f t="shared" si="18"/>
        <v>7650000</v>
      </c>
    </row>
    <row r="385" spans="1:13" ht="12.75">
      <c r="A385" s="493">
        <v>18</v>
      </c>
      <c r="B385" s="523" t="s">
        <v>594</v>
      </c>
      <c r="C385" s="1164" t="s">
        <v>1474</v>
      </c>
      <c r="D385" s="504"/>
      <c r="E385" s="503"/>
      <c r="F385" s="502">
        <f>SUM('[8]Széchenyi gimi'!D37)</f>
        <v>19</v>
      </c>
      <c r="G385" s="502"/>
      <c r="H385" s="502"/>
      <c r="I385" s="502"/>
      <c r="J385" s="504">
        <v>2550000</v>
      </c>
      <c r="K385" s="503"/>
      <c r="L385" s="502">
        <f>SUM('[8]Széchenyi gimi segéd'!M35)</f>
        <v>1088369.5652173914</v>
      </c>
      <c r="M385" s="388">
        <f t="shared" si="18"/>
        <v>1088369.5652173914</v>
      </c>
    </row>
    <row r="386" spans="1:13" ht="14.25" customHeight="1">
      <c r="A386" s="493">
        <v>18</v>
      </c>
      <c r="B386" s="523" t="s">
        <v>594</v>
      </c>
      <c r="C386" s="1164" t="s">
        <v>720</v>
      </c>
      <c r="D386" s="504"/>
      <c r="E386" s="503"/>
      <c r="F386" s="502">
        <f>SUM('[8]Széchenyi gimi'!D38)</f>
        <v>47</v>
      </c>
      <c r="G386" s="502"/>
      <c r="H386" s="502"/>
      <c r="I386" s="502"/>
      <c r="J386" s="504">
        <v>2550000</v>
      </c>
      <c r="K386" s="503"/>
      <c r="L386" s="502">
        <f>SUM('[8]Széchenyi gimi segéd'!M36)</f>
        <v>3515600</v>
      </c>
      <c r="M386" s="388">
        <f t="shared" si="18"/>
        <v>3515600</v>
      </c>
    </row>
    <row r="387" spans="1:13" ht="12.75">
      <c r="A387" s="493">
        <v>18</v>
      </c>
      <c r="B387" s="523" t="s">
        <v>594</v>
      </c>
      <c r="C387" s="1164" t="s">
        <v>1477</v>
      </c>
      <c r="D387" s="504"/>
      <c r="E387" s="502">
        <f>SUM('[8]Széchenyi gimi'!C41)</f>
        <v>141</v>
      </c>
      <c r="F387" s="538"/>
      <c r="G387" s="502"/>
      <c r="H387" s="502"/>
      <c r="I387" s="502"/>
      <c r="J387" s="504">
        <v>2550000</v>
      </c>
      <c r="K387" s="502">
        <f>SUM('[8]Széchenyi gimi segéd'!M17)</f>
        <v>19946464.285714287</v>
      </c>
      <c r="L387" s="503"/>
      <c r="M387" s="388">
        <f t="shared" si="18"/>
        <v>19946464.285714287</v>
      </c>
    </row>
    <row r="388" spans="1:13" ht="12.75">
      <c r="A388" s="493">
        <v>18</v>
      </c>
      <c r="B388" s="523" t="s">
        <v>594</v>
      </c>
      <c r="C388" s="1164" t="s">
        <v>1478</v>
      </c>
      <c r="D388" s="504"/>
      <c r="E388" s="502">
        <f>SUM('[8]Széchenyi gimi'!C42)</f>
        <v>169</v>
      </c>
      <c r="F388" s="538"/>
      <c r="G388" s="502"/>
      <c r="H388" s="502"/>
      <c r="I388" s="502"/>
      <c r="J388" s="504">
        <v>2550000</v>
      </c>
      <c r="K388" s="502">
        <f>SUM('[8]Széchenyi gimi segéd'!M18)</f>
        <v>25746500</v>
      </c>
      <c r="L388" s="503"/>
      <c r="M388" s="388">
        <f t="shared" si="18"/>
        <v>25746500</v>
      </c>
    </row>
    <row r="389" spans="1:13" ht="12.75">
      <c r="A389" s="493">
        <v>18</v>
      </c>
      <c r="B389" s="523" t="s">
        <v>594</v>
      </c>
      <c r="C389" s="1164" t="s">
        <v>969</v>
      </c>
      <c r="D389" s="504"/>
      <c r="E389" s="502">
        <f>SUM('[8]Széchenyi gimi'!C43)</f>
        <v>298</v>
      </c>
      <c r="F389" s="538"/>
      <c r="G389" s="502"/>
      <c r="H389" s="502"/>
      <c r="I389" s="502"/>
      <c r="J389" s="504">
        <v>2550000</v>
      </c>
      <c r="K389" s="502">
        <f>SUM('[8]Széchenyi gimi segéd'!M19)</f>
        <v>53720000</v>
      </c>
      <c r="L389" s="503"/>
      <c r="M389" s="388">
        <f t="shared" si="18"/>
        <v>53720000</v>
      </c>
    </row>
    <row r="390" spans="1:13" ht="12.75">
      <c r="A390" s="493">
        <v>18</v>
      </c>
      <c r="B390" s="523" t="s">
        <v>594</v>
      </c>
      <c r="C390" s="1164" t="s">
        <v>757</v>
      </c>
      <c r="D390" s="504"/>
      <c r="E390" s="503"/>
      <c r="F390" s="502">
        <f>SUM('[8]Széchenyi gimi'!D45)</f>
        <v>270</v>
      </c>
      <c r="G390" s="502"/>
      <c r="H390" s="502"/>
      <c r="I390" s="502"/>
      <c r="J390" s="504">
        <v>2550000</v>
      </c>
      <c r="K390" s="503"/>
      <c r="L390" s="502">
        <f>SUM('[8]Széchenyi gimi segéd'!M37)</f>
        <v>19125000</v>
      </c>
      <c r="M390" s="388">
        <f t="shared" si="18"/>
        <v>19125000</v>
      </c>
    </row>
    <row r="391" spans="1:13" ht="12.75">
      <c r="A391" s="493">
        <v>18</v>
      </c>
      <c r="B391" s="523" t="s">
        <v>594</v>
      </c>
      <c r="C391" s="1164" t="s">
        <v>758</v>
      </c>
      <c r="D391" s="504"/>
      <c r="E391" s="503"/>
      <c r="F391" s="502">
        <f>SUM('[8]Széchenyi gimi'!D46)</f>
        <v>346</v>
      </c>
      <c r="G391" s="502"/>
      <c r="H391" s="502"/>
      <c r="I391" s="502"/>
      <c r="J391" s="504">
        <v>2550000</v>
      </c>
      <c r="K391" s="503"/>
      <c r="L391" s="502">
        <f>SUM('[8]Széchenyi gimi segéd'!M38)</f>
        <v>31219846.153846156</v>
      </c>
      <c r="M391" s="388">
        <f t="shared" si="18"/>
        <v>31219846.153846156</v>
      </c>
    </row>
    <row r="392" spans="1:13" ht="12.75">
      <c r="A392" s="492">
        <v>18</v>
      </c>
      <c r="B392" s="523" t="s">
        <v>594</v>
      </c>
      <c r="C392" s="1165" t="s">
        <v>721</v>
      </c>
      <c r="D392" s="505"/>
      <c r="E392" s="502">
        <f>SUM('[8]Széchenyi gimi'!C100)</f>
        <v>8</v>
      </c>
      <c r="F392" s="510"/>
      <c r="G392" s="506"/>
      <c r="H392" s="506"/>
      <c r="I392" s="508">
        <f>E392/12*8</f>
        <v>5.333333333333333</v>
      </c>
      <c r="J392" s="509">
        <v>23000</v>
      </c>
      <c r="K392" s="502">
        <f>I392*J392</f>
        <v>122666.66666666666</v>
      </c>
      <c r="L392" s="503"/>
      <c r="M392" s="388">
        <f t="shared" si="18"/>
        <v>122666.66666666666</v>
      </c>
    </row>
    <row r="393" spans="1:13" ht="14.25" customHeight="1">
      <c r="A393" s="492">
        <v>18</v>
      </c>
      <c r="B393" s="523" t="s">
        <v>594</v>
      </c>
      <c r="C393" s="1167" t="s">
        <v>581</v>
      </c>
      <c r="D393" s="104"/>
      <c r="E393" s="503"/>
      <c r="F393" s="502">
        <f>SUM('[8]Széchenyi gimi'!D104)</f>
        <v>4</v>
      </c>
      <c r="G393" s="502"/>
      <c r="H393" s="502"/>
      <c r="I393" s="502"/>
      <c r="J393" s="504">
        <v>2550000</v>
      </c>
      <c r="K393" s="503"/>
      <c r="L393" s="502">
        <f>SUM('[8]Széchenyi gimi segéd'!M45)</f>
        <v>21760</v>
      </c>
      <c r="M393" s="388">
        <f t="shared" si="18"/>
        <v>21760</v>
      </c>
    </row>
    <row r="394" spans="1:13" ht="55.5" customHeight="1">
      <c r="A394" s="492">
        <v>18</v>
      </c>
      <c r="B394" s="523" t="s">
        <v>594</v>
      </c>
      <c r="C394" s="1165" t="s">
        <v>585</v>
      </c>
      <c r="D394" s="509"/>
      <c r="E394" s="506">
        <f>SUM('[8]Széchenyi gimi'!C134)</f>
        <v>1</v>
      </c>
      <c r="F394" s="506">
        <f>SUM('[8]Széchenyi gimi'!D138)</f>
        <v>1</v>
      </c>
      <c r="G394" s="507">
        <f>E394*8/12</f>
        <v>0.6666666666666666</v>
      </c>
      <c r="H394" s="507">
        <f>F394*4/12</f>
        <v>0.3333333333333333</v>
      </c>
      <c r="I394" s="508">
        <f>SUM(G394:H394)</f>
        <v>1</v>
      </c>
      <c r="J394" s="509">
        <v>240000</v>
      </c>
      <c r="K394" s="502">
        <f>G394*J394</f>
        <v>160000</v>
      </c>
      <c r="L394" s="502">
        <f>H394*J394</f>
        <v>80000</v>
      </c>
      <c r="M394" s="388">
        <f t="shared" si="18"/>
        <v>240000</v>
      </c>
    </row>
    <row r="395" spans="1:13" ht="51">
      <c r="A395" s="492">
        <v>18</v>
      </c>
      <c r="B395" s="523" t="s">
        <v>594</v>
      </c>
      <c r="C395" s="1165" t="s">
        <v>716</v>
      </c>
      <c r="D395" s="509"/>
      <c r="E395" s="506">
        <f>SUM('[8]Széchenyi gimi'!C159:C160)</f>
        <v>12</v>
      </c>
      <c r="F395" s="503"/>
      <c r="G395" s="507">
        <f>E395*8/12</f>
        <v>8</v>
      </c>
      <c r="H395" s="511"/>
      <c r="I395" s="508">
        <f>SUM(G395:H395)</f>
        <v>8</v>
      </c>
      <c r="J395" s="509">
        <v>192000</v>
      </c>
      <c r="K395" s="502">
        <f>G395*J395</f>
        <v>1536000</v>
      </c>
      <c r="L395" s="503"/>
      <c r="M395" s="388">
        <f t="shared" si="18"/>
        <v>1536000</v>
      </c>
    </row>
    <row r="396" spans="1:13" ht="38.25">
      <c r="A396" s="492">
        <v>18</v>
      </c>
      <c r="B396" s="523" t="s">
        <v>594</v>
      </c>
      <c r="C396" s="1165" t="s">
        <v>1337</v>
      </c>
      <c r="D396" s="505"/>
      <c r="E396" s="510"/>
      <c r="F396" s="506">
        <f>SUM('[8]Széchenyi gimi'!D171:D172)</f>
        <v>5</v>
      </c>
      <c r="G396" s="506"/>
      <c r="H396" s="507">
        <f>F396*4/12</f>
        <v>1.6666666666666667</v>
      </c>
      <c r="I396" s="508">
        <f>SUM(G396:H396)</f>
        <v>1.6666666666666667</v>
      </c>
      <c r="J396" s="509">
        <v>144000</v>
      </c>
      <c r="K396" s="510"/>
      <c r="L396" s="506">
        <f>I396*J396</f>
        <v>240000</v>
      </c>
      <c r="M396" s="388">
        <f t="shared" si="18"/>
        <v>240000</v>
      </c>
    </row>
    <row r="397" spans="1:13" ht="12.75">
      <c r="A397" s="492">
        <v>18</v>
      </c>
      <c r="B397" s="523" t="s">
        <v>594</v>
      </c>
      <c r="C397" s="1165" t="s">
        <v>884</v>
      </c>
      <c r="D397" s="505"/>
      <c r="E397" s="506">
        <f>SUM('[8]Széchenyi gimi'!C213)</f>
        <v>35</v>
      </c>
      <c r="F397" s="506">
        <f>SUM('[8]Széchenyi gimi'!D214)</f>
        <v>32</v>
      </c>
      <c r="G397" s="502">
        <f>E397*8/12</f>
        <v>23.333333333333332</v>
      </c>
      <c r="H397" s="502">
        <f>F397*4/12</f>
        <v>10.666666666666666</v>
      </c>
      <c r="I397" s="512">
        <f>SUM(G397:H397)</f>
        <v>34</v>
      </c>
      <c r="J397" s="509">
        <v>71500</v>
      </c>
      <c r="K397" s="502">
        <f>G397*J397</f>
        <v>1668333.3333333333</v>
      </c>
      <c r="L397" s="502">
        <f>H397*J397</f>
        <v>762666.6666666666</v>
      </c>
      <c r="M397" s="388">
        <f t="shared" si="18"/>
        <v>2431000</v>
      </c>
    </row>
    <row r="398" spans="1:13" ht="12.75">
      <c r="A398" s="492">
        <v>18</v>
      </c>
      <c r="B398" s="523" t="s">
        <v>594</v>
      </c>
      <c r="C398" s="1165" t="s">
        <v>1480</v>
      </c>
      <c r="D398" s="505"/>
      <c r="E398" s="506">
        <f>SUM('[8]Széchenyi gimi'!C237)</f>
        <v>196</v>
      </c>
      <c r="F398" s="506"/>
      <c r="G398" s="502">
        <f>E398*8/12</f>
        <v>130.66666666666666</v>
      </c>
      <c r="H398" s="502">
        <f>F398*4/12</f>
        <v>0</v>
      </c>
      <c r="I398" s="512">
        <f>ROUND(SUM(G398:H398),0)</f>
        <v>131</v>
      </c>
      <c r="J398" s="509">
        <v>15000</v>
      </c>
      <c r="K398" s="502">
        <f>G398*J398</f>
        <v>1959999.9999999998</v>
      </c>
      <c r="L398" s="502">
        <f>H398*J398</f>
        <v>0</v>
      </c>
      <c r="M398" s="388">
        <f t="shared" si="18"/>
        <v>1959999.9999999998</v>
      </c>
    </row>
    <row r="399" spans="1:13" ht="12.75">
      <c r="A399" s="492">
        <v>18</v>
      </c>
      <c r="B399" s="523" t="s">
        <v>594</v>
      </c>
      <c r="C399" s="1165" t="s">
        <v>964</v>
      </c>
      <c r="D399" s="509"/>
      <c r="E399" s="506"/>
      <c r="F399" s="506">
        <v>183</v>
      </c>
      <c r="G399" s="506"/>
      <c r="H399" s="506">
        <v>61</v>
      </c>
      <c r="I399" s="539">
        <f>F399/12*4</f>
        <v>61</v>
      </c>
      <c r="J399" s="509">
        <v>18000</v>
      </c>
      <c r="K399" s="506"/>
      <c r="L399" s="506">
        <v>1098000</v>
      </c>
      <c r="M399" s="540">
        <f t="shared" si="18"/>
        <v>1098000</v>
      </c>
    </row>
    <row r="400" spans="1:13" ht="25.5">
      <c r="A400" s="492">
        <v>18</v>
      </c>
      <c r="B400" s="523" t="s">
        <v>594</v>
      </c>
      <c r="C400" s="1165" t="s">
        <v>1508</v>
      </c>
      <c r="D400" s="505"/>
      <c r="E400" s="1273">
        <f>SUM('[8]Széchenyi gimi'!C258:C259)</f>
        <v>80</v>
      </c>
      <c r="F400" s="1273">
        <f>SUM('[8]Széchenyi gimi'!D264:D265)</f>
        <v>0</v>
      </c>
      <c r="G400" s="506"/>
      <c r="H400" s="506"/>
      <c r="I400" s="508">
        <f>SUM(E400:F400)</f>
        <v>80</v>
      </c>
      <c r="J400" s="509">
        <v>55000</v>
      </c>
      <c r="K400" s="502"/>
      <c r="L400" s="502"/>
      <c r="M400" s="388">
        <f>I400*J400</f>
        <v>4400000</v>
      </c>
    </row>
    <row r="401" spans="1:13" ht="12.75">
      <c r="A401" s="492">
        <v>18</v>
      </c>
      <c r="B401" s="523" t="s">
        <v>594</v>
      </c>
      <c r="C401" s="1165" t="s">
        <v>1509</v>
      </c>
      <c r="D401" s="505"/>
      <c r="E401" s="1285"/>
      <c r="F401" s="1273">
        <f>SUM('[8]Széchenyi gimi'!D269)</f>
        <v>160</v>
      </c>
      <c r="G401" s="506"/>
      <c r="H401" s="506"/>
      <c r="I401" s="508">
        <f>F401</f>
        <v>160</v>
      </c>
      <c r="J401" s="509">
        <v>10000</v>
      </c>
      <c r="K401" s="503"/>
      <c r="L401" s="502"/>
      <c r="M401" s="388">
        <f>I401*J401</f>
        <v>1600000</v>
      </c>
    </row>
    <row r="402" spans="1:13" ht="12.75">
      <c r="A402" s="492">
        <v>18</v>
      </c>
      <c r="B402" s="526" t="s">
        <v>594</v>
      </c>
      <c r="C402" s="1166" t="s">
        <v>878</v>
      </c>
      <c r="D402" s="514"/>
      <c r="E402" s="1286"/>
      <c r="F402" s="1272">
        <f>SUM('[8]Széchenyi gimi'!D270)</f>
        <v>682</v>
      </c>
      <c r="G402" s="515"/>
      <c r="H402" s="515"/>
      <c r="I402" s="516">
        <f>F402</f>
        <v>682</v>
      </c>
      <c r="J402" s="517">
        <v>1000</v>
      </c>
      <c r="K402" s="528"/>
      <c r="L402" s="518"/>
      <c r="M402" s="519">
        <f>I402*J402</f>
        <v>682000</v>
      </c>
    </row>
    <row r="403" spans="2:13" ht="14.25">
      <c r="B403" s="1425" t="s">
        <v>1413</v>
      </c>
      <c r="C403" s="1426"/>
      <c r="D403" s="1426"/>
      <c r="E403" s="1426"/>
      <c r="F403" s="1426"/>
      <c r="G403" s="1426"/>
      <c r="H403" s="1426"/>
      <c r="I403" s="1427"/>
      <c r="J403" s="466"/>
      <c r="K403" s="529"/>
      <c r="L403" s="530"/>
      <c r="M403" s="521">
        <f>SUM(M382:M402)</f>
        <v>181583456.67144448</v>
      </c>
    </row>
    <row r="404" spans="1:13" ht="25.5">
      <c r="A404" s="493">
        <v>19</v>
      </c>
      <c r="B404" s="1174" t="s">
        <v>761</v>
      </c>
      <c r="C404" s="1163" t="s">
        <v>1477</v>
      </c>
      <c r="D404" s="498"/>
      <c r="E404" s="497">
        <f>SUM('[8]Egészségügyi'!C41)</f>
        <v>86</v>
      </c>
      <c r="F404" s="541"/>
      <c r="G404" s="497"/>
      <c r="H404" s="497"/>
      <c r="I404" s="497"/>
      <c r="J404" s="498">
        <v>2550000</v>
      </c>
      <c r="K404" s="497">
        <f>SUM('[8]Egészségügyi segéd'!M17)</f>
        <v>12165928.571428573</v>
      </c>
      <c r="L404" s="496"/>
      <c r="M404" s="499">
        <f aca="true" t="shared" si="19" ref="M404:M422">SUM(K404:L404)</f>
        <v>12165928.571428573</v>
      </c>
    </row>
    <row r="405" spans="1:13" ht="25.5">
      <c r="A405" s="493">
        <v>19</v>
      </c>
      <c r="B405" s="1175" t="s">
        <v>761</v>
      </c>
      <c r="C405" s="1164" t="s">
        <v>1478</v>
      </c>
      <c r="D405" s="504"/>
      <c r="E405" s="502">
        <f>SUM('[8]Egészségügyi'!C42)</f>
        <v>64.5</v>
      </c>
      <c r="F405" s="538"/>
      <c r="G405" s="502"/>
      <c r="H405" s="502"/>
      <c r="I405" s="502"/>
      <c r="J405" s="504">
        <v>2550000</v>
      </c>
      <c r="K405" s="502">
        <f>SUM('[8]Egészségügyi segéd'!M18)</f>
        <v>9826326.923076922</v>
      </c>
      <c r="L405" s="503"/>
      <c r="M405" s="388">
        <f t="shared" si="19"/>
        <v>9826326.923076922</v>
      </c>
    </row>
    <row r="406" spans="1:13" ht="25.5">
      <c r="A406" s="493">
        <v>19</v>
      </c>
      <c r="B406" s="1175" t="s">
        <v>761</v>
      </c>
      <c r="C406" s="1164" t="s">
        <v>969</v>
      </c>
      <c r="D406" s="504"/>
      <c r="E406" s="502">
        <f>SUM('[8]Egészségügyi'!C43)</f>
        <v>75</v>
      </c>
      <c r="F406" s="538"/>
      <c r="G406" s="502"/>
      <c r="H406" s="502"/>
      <c r="I406" s="502"/>
      <c r="J406" s="504">
        <v>2550000</v>
      </c>
      <c r="K406" s="502">
        <f>SUM('[8]Egészségügyi segéd'!M19)</f>
        <v>13600000</v>
      </c>
      <c r="L406" s="503"/>
      <c r="M406" s="388">
        <f t="shared" si="19"/>
        <v>13600000</v>
      </c>
    </row>
    <row r="407" spans="1:13" ht="25.5">
      <c r="A407" s="493">
        <v>19</v>
      </c>
      <c r="B407" s="1175" t="s">
        <v>761</v>
      </c>
      <c r="C407" s="1164" t="s">
        <v>757</v>
      </c>
      <c r="D407" s="504"/>
      <c r="E407" s="503"/>
      <c r="F407" s="502">
        <f>SUM('[8]Egészségügyi'!D45)</f>
        <v>152.5</v>
      </c>
      <c r="G407" s="502"/>
      <c r="H407" s="502"/>
      <c r="I407" s="502"/>
      <c r="J407" s="504">
        <v>2550000</v>
      </c>
      <c r="K407" s="503"/>
      <c r="L407" s="502">
        <f>SUM('[8]Egészségügyi segéd'!M37)</f>
        <v>10795000</v>
      </c>
      <c r="M407" s="388">
        <f t="shared" si="19"/>
        <v>10795000</v>
      </c>
    </row>
    <row r="408" spans="1:13" ht="25.5">
      <c r="A408" s="493">
        <v>19</v>
      </c>
      <c r="B408" s="1175" t="s">
        <v>761</v>
      </c>
      <c r="C408" s="1164" t="s">
        <v>758</v>
      </c>
      <c r="D408" s="504"/>
      <c r="E408" s="503"/>
      <c r="F408" s="502">
        <f>SUM('[8]Egészségügyi'!D46)</f>
        <v>69.5</v>
      </c>
      <c r="G408" s="502"/>
      <c r="H408" s="502"/>
      <c r="I408" s="502"/>
      <c r="J408" s="504">
        <v>2550000</v>
      </c>
      <c r="K408" s="503"/>
      <c r="L408" s="502">
        <f>SUM('[8]Egészségügyi segéd'!M38)</f>
        <v>6271038.461538461</v>
      </c>
      <c r="M408" s="388">
        <f t="shared" si="19"/>
        <v>6271038.461538461</v>
      </c>
    </row>
    <row r="409" spans="1:13" ht="25.5">
      <c r="A409" s="493">
        <v>19</v>
      </c>
      <c r="B409" s="1175" t="s">
        <v>761</v>
      </c>
      <c r="C409" s="1165" t="s">
        <v>960</v>
      </c>
      <c r="D409" s="504"/>
      <c r="E409" s="502">
        <f>SUM('[8]Egészségügyi'!C49)</f>
        <v>60.1</v>
      </c>
      <c r="F409" s="538"/>
      <c r="G409" s="502"/>
      <c r="H409" s="502"/>
      <c r="I409" s="502"/>
      <c r="J409" s="504">
        <v>2550000</v>
      </c>
      <c r="K409" s="502">
        <f>SUM('[8]Egészségügyi segéd'!M20)</f>
        <v>7480000</v>
      </c>
      <c r="L409" s="503"/>
      <c r="M409" s="388">
        <f t="shared" si="19"/>
        <v>7480000</v>
      </c>
    </row>
    <row r="410" spans="1:13" ht="25.5">
      <c r="A410" s="493">
        <v>19</v>
      </c>
      <c r="B410" s="1175" t="s">
        <v>761</v>
      </c>
      <c r="C410" s="1165" t="s">
        <v>961</v>
      </c>
      <c r="D410" s="504"/>
      <c r="E410" s="502">
        <f>SUM('[8]Egészségügyi'!C50)</f>
        <v>64.2</v>
      </c>
      <c r="F410" s="503"/>
      <c r="G410" s="502"/>
      <c r="H410" s="502"/>
      <c r="I410" s="502"/>
      <c r="J410" s="504">
        <v>2550000</v>
      </c>
      <c r="K410" s="502">
        <f>SUM('[8]Egészségügyi segéd'!M21)</f>
        <v>8500000</v>
      </c>
      <c r="L410" s="503"/>
      <c r="M410" s="388">
        <f t="shared" si="19"/>
        <v>8500000</v>
      </c>
    </row>
    <row r="411" spans="1:13" ht="25.5">
      <c r="A411" s="493">
        <v>19</v>
      </c>
      <c r="B411" s="1175" t="s">
        <v>761</v>
      </c>
      <c r="C411" s="1165" t="s">
        <v>1479</v>
      </c>
      <c r="D411" s="504"/>
      <c r="E411" s="503"/>
      <c r="F411" s="502">
        <f>SUM('[8]Egészségügyi'!D52)</f>
        <v>109</v>
      </c>
      <c r="G411" s="502"/>
      <c r="H411" s="502"/>
      <c r="I411" s="502"/>
      <c r="J411" s="504">
        <v>2550000</v>
      </c>
      <c r="K411" s="503"/>
      <c r="L411" s="502">
        <f>SUM('[8]Egészségügyi segéd'!M39)</f>
        <v>6717124.999999999</v>
      </c>
      <c r="M411" s="388">
        <f t="shared" si="19"/>
        <v>6717124.999999999</v>
      </c>
    </row>
    <row r="412" spans="1:13" ht="25.5">
      <c r="A412" s="493">
        <v>19</v>
      </c>
      <c r="B412" s="1175" t="s">
        <v>761</v>
      </c>
      <c r="C412" s="1165" t="s">
        <v>963</v>
      </c>
      <c r="D412" s="504"/>
      <c r="E412" s="503"/>
      <c r="F412" s="502">
        <f>SUM('[8]Egészségügyi'!D53)</f>
        <v>16</v>
      </c>
      <c r="G412" s="502"/>
      <c r="H412" s="502"/>
      <c r="I412" s="502"/>
      <c r="J412" s="504">
        <v>2550000</v>
      </c>
      <c r="K412" s="503"/>
      <c r="L412" s="502">
        <f>SUM('[8]Egészségügyi segéd'!M40)</f>
        <v>1061846.1538461538</v>
      </c>
      <c r="M412" s="388">
        <f t="shared" si="19"/>
        <v>1061846.1538461538</v>
      </c>
    </row>
    <row r="413" spans="1:13" ht="25.5">
      <c r="A413" s="492">
        <v>19</v>
      </c>
      <c r="B413" s="1175" t="s">
        <v>761</v>
      </c>
      <c r="C413" s="1165" t="s">
        <v>317</v>
      </c>
      <c r="D413" s="501"/>
      <c r="E413" s="502">
        <f>SUM('[8]Egészségügyi'!C110)</f>
        <v>65</v>
      </c>
      <c r="F413" s="502">
        <f>SUM('[8]Egészségügyi'!D111)</f>
        <v>71</v>
      </c>
      <c r="G413" s="502">
        <f aca="true" t="shared" si="20" ref="G413:G418">E413*8/12</f>
        <v>43.333333333333336</v>
      </c>
      <c r="H413" s="502">
        <f>F413*4/12</f>
        <v>23.666666666666668</v>
      </c>
      <c r="I413" s="512">
        <f aca="true" t="shared" si="21" ref="I413:I420">SUM(G413:H413)</f>
        <v>67</v>
      </c>
      <c r="J413" s="504">
        <v>40000</v>
      </c>
      <c r="K413" s="502">
        <f aca="true" t="shared" si="22" ref="K413:K418">G413*J413</f>
        <v>1733333.3333333335</v>
      </c>
      <c r="L413" s="502">
        <f>H413*J413</f>
        <v>946666.6666666667</v>
      </c>
      <c r="M413" s="388">
        <f t="shared" si="19"/>
        <v>2680000</v>
      </c>
    </row>
    <row r="414" spans="1:13" ht="25.5">
      <c r="A414" s="492">
        <v>19</v>
      </c>
      <c r="B414" s="1175" t="s">
        <v>761</v>
      </c>
      <c r="C414" s="1165" t="s">
        <v>321</v>
      </c>
      <c r="D414" s="509"/>
      <c r="E414" s="502">
        <f>SUM('[8]Egészségügyi'!C114)</f>
        <v>17</v>
      </c>
      <c r="F414" s="502">
        <f>SUM('[8]Egészségügyi'!D115)</f>
        <v>12</v>
      </c>
      <c r="G414" s="502">
        <f t="shared" si="20"/>
        <v>11.333333333333334</v>
      </c>
      <c r="H414" s="502">
        <f>F414*4/12</f>
        <v>4</v>
      </c>
      <c r="I414" s="512">
        <f t="shared" si="21"/>
        <v>15.333333333333334</v>
      </c>
      <c r="J414" s="509">
        <v>112000</v>
      </c>
      <c r="K414" s="502">
        <f t="shared" si="22"/>
        <v>1269333.3333333335</v>
      </c>
      <c r="L414" s="502">
        <f>H414*J414</f>
        <v>448000</v>
      </c>
      <c r="M414" s="388">
        <f t="shared" si="19"/>
        <v>1717333.3333333335</v>
      </c>
    </row>
    <row r="415" spans="1:13" ht="25.5">
      <c r="A415" s="492">
        <v>19</v>
      </c>
      <c r="B415" s="1175" t="s">
        <v>761</v>
      </c>
      <c r="C415" s="1165" t="s">
        <v>323</v>
      </c>
      <c r="D415" s="509"/>
      <c r="E415" s="502">
        <f>SUM('[8]Egészségügyi'!C117)</f>
        <v>60.1</v>
      </c>
      <c r="F415" s="502">
        <f>SUM('[8]Egészségügyi'!D118)</f>
        <v>57</v>
      </c>
      <c r="G415" s="502">
        <f t="shared" si="20"/>
        <v>40.06666666666667</v>
      </c>
      <c r="H415" s="502">
        <f>F415*4/12</f>
        <v>19</v>
      </c>
      <c r="I415" s="512">
        <f t="shared" si="21"/>
        <v>59.06666666666667</v>
      </c>
      <c r="J415" s="509">
        <v>156800</v>
      </c>
      <c r="K415" s="502">
        <f t="shared" si="22"/>
        <v>6282453.333333334</v>
      </c>
      <c r="L415" s="502">
        <f>H415*J415</f>
        <v>2979200</v>
      </c>
      <c r="M415" s="388">
        <f t="shared" si="19"/>
        <v>9261653.333333334</v>
      </c>
    </row>
    <row r="416" spans="1:13" ht="25.5">
      <c r="A416" s="492">
        <v>19</v>
      </c>
      <c r="B416" s="1175" t="s">
        <v>761</v>
      </c>
      <c r="C416" s="1165" t="s">
        <v>325</v>
      </c>
      <c r="D416" s="509"/>
      <c r="E416" s="502">
        <f>SUM('[8]Egészségügyi'!C120)</f>
        <v>47.2</v>
      </c>
      <c r="F416" s="502">
        <f>SUM('[8]Egészségügyi'!D121)</f>
        <v>56.1</v>
      </c>
      <c r="G416" s="507">
        <f t="shared" si="20"/>
        <v>31.46666666666667</v>
      </c>
      <c r="H416" s="507">
        <f>F416*4/12</f>
        <v>18.7</v>
      </c>
      <c r="I416" s="512">
        <f t="shared" si="21"/>
        <v>50.16666666666667</v>
      </c>
      <c r="J416" s="509">
        <v>67200</v>
      </c>
      <c r="K416" s="502">
        <f t="shared" si="22"/>
        <v>2114560</v>
      </c>
      <c r="L416" s="502">
        <f>H416*J416</f>
        <v>1256640</v>
      </c>
      <c r="M416" s="388">
        <f t="shared" si="19"/>
        <v>3371200</v>
      </c>
    </row>
    <row r="417" spans="1:13" ht="51.75" customHeight="1">
      <c r="A417" s="492">
        <v>19</v>
      </c>
      <c r="B417" s="1175" t="s">
        <v>761</v>
      </c>
      <c r="C417" s="1165" t="s">
        <v>585</v>
      </c>
      <c r="D417" s="509"/>
      <c r="E417" s="506">
        <f>SUM('[8]Egészségügyi'!C134)</f>
        <v>2</v>
      </c>
      <c r="F417" s="506">
        <f>SUM('[8]Egészségügyi'!D138)</f>
        <v>2</v>
      </c>
      <c r="G417" s="507">
        <f t="shared" si="20"/>
        <v>1.3333333333333333</v>
      </c>
      <c r="H417" s="507">
        <f>F417*4/12</f>
        <v>0.6666666666666666</v>
      </c>
      <c r="I417" s="508">
        <f t="shared" si="21"/>
        <v>2</v>
      </c>
      <c r="J417" s="509">
        <v>240000</v>
      </c>
      <c r="K417" s="502">
        <f t="shared" si="22"/>
        <v>320000</v>
      </c>
      <c r="L417" s="502">
        <f>H417*J417</f>
        <v>160000</v>
      </c>
      <c r="M417" s="388">
        <f t="shared" si="19"/>
        <v>480000</v>
      </c>
    </row>
    <row r="418" spans="1:13" ht="51">
      <c r="A418" s="492">
        <v>19</v>
      </c>
      <c r="B418" s="1175" t="s">
        <v>761</v>
      </c>
      <c r="C418" s="1165" t="s">
        <v>716</v>
      </c>
      <c r="D418" s="509"/>
      <c r="E418" s="506">
        <f>SUM('[8]Egészségügyi'!C160)</f>
        <v>33</v>
      </c>
      <c r="F418" s="503"/>
      <c r="G418" s="507">
        <f t="shared" si="20"/>
        <v>22</v>
      </c>
      <c r="H418" s="511"/>
      <c r="I418" s="508">
        <f t="shared" si="21"/>
        <v>22</v>
      </c>
      <c r="J418" s="509">
        <v>192000</v>
      </c>
      <c r="K418" s="502">
        <f t="shared" si="22"/>
        <v>4224000</v>
      </c>
      <c r="L418" s="503"/>
      <c r="M418" s="388">
        <f t="shared" si="19"/>
        <v>4224000</v>
      </c>
    </row>
    <row r="419" spans="1:13" ht="46.5" customHeight="1">
      <c r="A419" s="492">
        <v>19</v>
      </c>
      <c r="B419" s="1175" t="s">
        <v>761</v>
      </c>
      <c r="C419" s="1165" t="s">
        <v>1336</v>
      </c>
      <c r="D419" s="505"/>
      <c r="E419" s="510"/>
      <c r="F419" s="506">
        <f>SUM('[8]Egészségügyi'!D166)</f>
        <v>10</v>
      </c>
      <c r="G419" s="506"/>
      <c r="H419" s="507">
        <f>F419*4/12</f>
        <v>3.3333333333333335</v>
      </c>
      <c r="I419" s="508">
        <f t="shared" si="21"/>
        <v>3.3333333333333335</v>
      </c>
      <c r="J419" s="509">
        <v>192000</v>
      </c>
      <c r="K419" s="510"/>
      <c r="L419" s="502">
        <f>H419*J419</f>
        <v>640000</v>
      </c>
      <c r="M419" s="388">
        <f t="shared" si="19"/>
        <v>640000</v>
      </c>
    </row>
    <row r="420" spans="1:13" ht="38.25">
      <c r="A420" s="492">
        <v>19</v>
      </c>
      <c r="B420" s="1175" t="s">
        <v>761</v>
      </c>
      <c r="C420" s="1165" t="s">
        <v>1337</v>
      </c>
      <c r="D420" s="505"/>
      <c r="E420" s="510"/>
      <c r="F420" s="506">
        <f>SUM('[8]Egészségügyi'!D172)</f>
        <v>20</v>
      </c>
      <c r="G420" s="506"/>
      <c r="H420" s="507">
        <f>F420*4/12</f>
        <v>6.666666666666667</v>
      </c>
      <c r="I420" s="508">
        <f t="shared" si="21"/>
        <v>6.666666666666667</v>
      </c>
      <c r="J420" s="509">
        <v>144000</v>
      </c>
      <c r="K420" s="510"/>
      <c r="L420" s="506">
        <f>I420*J420</f>
        <v>960000</v>
      </c>
      <c r="M420" s="388">
        <f t="shared" si="19"/>
        <v>960000</v>
      </c>
    </row>
    <row r="421" spans="1:13" ht="25.5">
      <c r="A421" s="492">
        <v>19</v>
      </c>
      <c r="B421" s="1175" t="s">
        <v>761</v>
      </c>
      <c r="C421" s="1165" t="s">
        <v>1480</v>
      </c>
      <c r="D421" s="505"/>
      <c r="E421" s="506">
        <f>SUM('[8]Egészségügyi'!C237)</f>
        <v>137</v>
      </c>
      <c r="F421" s="506"/>
      <c r="G421" s="502">
        <f>E421*8/12</f>
        <v>91.33333333333333</v>
      </c>
      <c r="H421" s="502">
        <f>F421*4/12</f>
        <v>0</v>
      </c>
      <c r="I421" s="512">
        <f>ROUND(SUM(G421:H421),0)</f>
        <v>91</v>
      </c>
      <c r="J421" s="509">
        <v>15000</v>
      </c>
      <c r="K421" s="502">
        <f>G421*J421</f>
        <v>1370000</v>
      </c>
      <c r="L421" s="502">
        <f>H421*J421</f>
        <v>0</v>
      </c>
      <c r="M421" s="388">
        <f t="shared" si="19"/>
        <v>1370000</v>
      </c>
    </row>
    <row r="422" spans="1:13" ht="25.5">
      <c r="A422" s="492">
        <v>19</v>
      </c>
      <c r="B422" s="1175" t="s">
        <v>761</v>
      </c>
      <c r="C422" s="1165" t="s">
        <v>1481</v>
      </c>
      <c r="D422" s="509"/>
      <c r="E422" s="506"/>
      <c r="F422" s="506">
        <v>135</v>
      </c>
      <c r="G422" s="506"/>
      <c r="H422" s="506">
        <v>45</v>
      </c>
      <c r="I422" s="539">
        <f>F422/12*4</f>
        <v>45</v>
      </c>
      <c r="J422" s="509">
        <v>18000</v>
      </c>
      <c r="K422" s="506"/>
      <c r="L422" s="506">
        <v>810000</v>
      </c>
      <c r="M422" s="540">
        <f t="shared" si="19"/>
        <v>810000</v>
      </c>
    </row>
    <row r="423" spans="1:13" ht="25.5">
      <c r="A423" s="492">
        <v>19</v>
      </c>
      <c r="B423" s="1175" t="s">
        <v>761</v>
      </c>
      <c r="C423" s="1165" t="s">
        <v>1508</v>
      </c>
      <c r="D423" s="505"/>
      <c r="E423" s="1273">
        <f>SUM('[8]Egészségügyi'!C259)</f>
        <v>13</v>
      </c>
      <c r="F423" s="1273">
        <f>SUM('[8]Egészségügyi'!D265)</f>
        <v>0</v>
      </c>
      <c r="G423" s="506"/>
      <c r="H423" s="506"/>
      <c r="I423" s="508">
        <f>SUM(E423:F423)</f>
        <v>13</v>
      </c>
      <c r="J423" s="509">
        <v>55000</v>
      </c>
      <c r="K423" s="502"/>
      <c r="L423" s="502"/>
      <c r="M423" s="388">
        <f>I423*J423</f>
        <v>715000</v>
      </c>
    </row>
    <row r="424" spans="1:13" ht="25.5">
      <c r="A424" s="492">
        <v>19</v>
      </c>
      <c r="B424" s="1175" t="s">
        <v>761</v>
      </c>
      <c r="C424" s="1165" t="s">
        <v>1509</v>
      </c>
      <c r="D424" s="505"/>
      <c r="E424" s="1285"/>
      <c r="F424" s="1273">
        <f>SUM('[8]Egészségügyi'!D269)</f>
        <v>109</v>
      </c>
      <c r="G424" s="506"/>
      <c r="H424" s="506"/>
      <c r="I424" s="508">
        <f>F424</f>
        <v>109</v>
      </c>
      <c r="J424" s="509">
        <v>10000</v>
      </c>
      <c r="K424" s="503"/>
      <c r="L424" s="502"/>
      <c r="M424" s="388">
        <f>I424*J424</f>
        <v>1090000</v>
      </c>
    </row>
    <row r="425" spans="1:13" ht="25.5">
      <c r="A425" s="492">
        <v>19</v>
      </c>
      <c r="B425" s="1176" t="s">
        <v>761</v>
      </c>
      <c r="C425" s="1166" t="s">
        <v>878</v>
      </c>
      <c r="D425" s="514"/>
      <c r="E425" s="1286"/>
      <c r="F425" s="1272">
        <f>SUM('[8]Egészségügyi'!D270)</f>
        <v>275</v>
      </c>
      <c r="G425" s="515"/>
      <c r="H425" s="515"/>
      <c r="I425" s="516">
        <f>F425</f>
        <v>275</v>
      </c>
      <c r="J425" s="517">
        <v>1000</v>
      </c>
      <c r="K425" s="528"/>
      <c r="L425" s="518"/>
      <c r="M425" s="519">
        <f>I425*J425</f>
        <v>275000</v>
      </c>
    </row>
    <row r="426" spans="2:13" ht="14.25">
      <c r="B426" s="1428" t="s">
        <v>762</v>
      </c>
      <c r="C426" s="1417"/>
      <c r="D426" s="1417"/>
      <c r="E426" s="1417"/>
      <c r="F426" s="1417"/>
      <c r="G426" s="1417"/>
      <c r="H426" s="1417"/>
      <c r="I426" s="1418"/>
      <c r="J426" s="466"/>
      <c r="K426" s="529"/>
      <c r="L426" s="530"/>
      <c r="M426" s="521">
        <f>SUM(M404:M425)</f>
        <v>104011451.77655677</v>
      </c>
    </row>
    <row r="427" spans="1:13" ht="25.5">
      <c r="A427" s="493">
        <v>20</v>
      </c>
      <c r="B427" s="554" t="s">
        <v>763</v>
      </c>
      <c r="C427" s="1163" t="s">
        <v>1477</v>
      </c>
      <c r="D427" s="498"/>
      <c r="E427" s="497">
        <f>SUM('[8]Közgé'!C41)</f>
        <v>134</v>
      </c>
      <c r="F427" s="541"/>
      <c r="G427" s="497"/>
      <c r="H427" s="497"/>
      <c r="I427" s="497"/>
      <c r="J427" s="498">
        <v>2550000</v>
      </c>
      <c r="K427" s="497">
        <f>SUM('[8]Közgé segéd'!M17)</f>
        <v>18956214.285714284</v>
      </c>
      <c r="L427" s="496"/>
      <c r="M427" s="499">
        <f aca="true" t="shared" si="23" ref="M427:M437">SUM(K427:L427)</f>
        <v>18956214.285714284</v>
      </c>
    </row>
    <row r="428" spans="1:13" ht="25.5">
      <c r="A428" s="493">
        <v>20</v>
      </c>
      <c r="B428" s="1053" t="s">
        <v>763</v>
      </c>
      <c r="C428" s="1164" t="s">
        <v>1478</v>
      </c>
      <c r="D428" s="504"/>
      <c r="E428" s="502">
        <f>SUM('[8]Közgé'!C42)</f>
        <v>140</v>
      </c>
      <c r="F428" s="538"/>
      <c r="G428" s="502"/>
      <c r="H428" s="502"/>
      <c r="I428" s="502"/>
      <c r="J428" s="504">
        <v>2550000</v>
      </c>
      <c r="K428" s="502">
        <f>SUM('[8]Közgé segéd'!M18)</f>
        <v>21328461.53846154</v>
      </c>
      <c r="L428" s="503"/>
      <c r="M428" s="388">
        <f t="shared" si="23"/>
        <v>21328461.53846154</v>
      </c>
    </row>
    <row r="429" spans="1:13" ht="25.5">
      <c r="A429" s="493">
        <v>20</v>
      </c>
      <c r="B429" s="1053" t="s">
        <v>763</v>
      </c>
      <c r="C429" s="1164" t="s">
        <v>969</v>
      </c>
      <c r="D429" s="504"/>
      <c r="E429" s="502">
        <f>SUM('[8]Közgé'!C43)</f>
        <v>285</v>
      </c>
      <c r="F429" s="538"/>
      <c r="G429" s="502"/>
      <c r="H429" s="502"/>
      <c r="I429" s="502"/>
      <c r="J429" s="504">
        <v>2550000</v>
      </c>
      <c r="K429" s="502">
        <f>SUM('[8]Közgé segéd'!M19)</f>
        <v>51510000</v>
      </c>
      <c r="L429" s="503"/>
      <c r="M429" s="388">
        <f t="shared" si="23"/>
        <v>51510000</v>
      </c>
    </row>
    <row r="430" spans="1:13" ht="25.5">
      <c r="A430" s="493">
        <v>20</v>
      </c>
      <c r="B430" s="1053" t="s">
        <v>763</v>
      </c>
      <c r="C430" s="1164" t="s">
        <v>757</v>
      </c>
      <c r="D430" s="504"/>
      <c r="E430" s="503"/>
      <c r="F430" s="502">
        <f>SUM('[8]Közgé'!D45)</f>
        <v>130</v>
      </c>
      <c r="G430" s="502"/>
      <c r="H430" s="502"/>
      <c r="I430" s="502"/>
      <c r="J430" s="504">
        <v>2550000</v>
      </c>
      <c r="K430" s="503"/>
      <c r="L430" s="502">
        <f>SUM('[8]Közgé segéd'!M37)</f>
        <v>9180000</v>
      </c>
      <c r="M430" s="388">
        <f t="shared" si="23"/>
        <v>9180000</v>
      </c>
    </row>
    <row r="431" spans="1:13" ht="25.5">
      <c r="A431" s="493">
        <v>20</v>
      </c>
      <c r="B431" s="1053" t="s">
        <v>763</v>
      </c>
      <c r="C431" s="1164" t="s">
        <v>758</v>
      </c>
      <c r="D431" s="504"/>
      <c r="E431" s="503"/>
      <c r="F431" s="502">
        <f>SUM('[8]Közgé'!D46)</f>
        <v>430</v>
      </c>
      <c r="G431" s="502"/>
      <c r="H431" s="502"/>
      <c r="I431" s="502"/>
      <c r="J431" s="504">
        <v>2550000</v>
      </c>
      <c r="K431" s="503"/>
      <c r="L431" s="502">
        <f>SUM('[8]Közgé segéd'!M38)</f>
        <v>38799230.76923077</v>
      </c>
      <c r="M431" s="388">
        <f t="shared" si="23"/>
        <v>38799230.76923077</v>
      </c>
    </row>
    <row r="432" spans="1:13" ht="25.5">
      <c r="A432" s="493">
        <v>20</v>
      </c>
      <c r="B432" s="1053" t="s">
        <v>763</v>
      </c>
      <c r="C432" s="1165" t="s">
        <v>593</v>
      </c>
      <c r="D432" s="504"/>
      <c r="E432" s="502">
        <f>SUM('[8]Közgé'!C49)</f>
        <v>73</v>
      </c>
      <c r="F432" s="538"/>
      <c r="G432" s="502"/>
      <c r="H432" s="502"/>
      <c r="I432" s="502"/>
      <c r="J432" s="504">
        <v>2550000</v>
      </c>
      <c r="K432" s="502">
        <f>SUM('[8]Közgé segéd'!M20)</f>
        <v>9010000</v>
      </c>
      <c r="L432" s="503"/>
      <c r="M432" s="388">
        <f t="shared" si="23"/>
        <v>9010000</v>
      </c>
    </row>
    <row r="433" spans="1:13" ht="25.5">
      <c r="A433" s="493">
        <v>20</v>
      </c>
      <c r="B433" s="1053" t="s">
        <v>763</v>
      </c>
      <c r="C433" s="1165" t="s">
        <v>961</v>
      </c>
      <c r="D433" s="504"/>
      <c r="E433" s="502">
        <f>SUM('[8]Közgé'!C50)</f>
        <v>13</v>
      </c>
      <c r="F433" s="503"/>
      <c r="G433" s="502"/>
      <c r="H433" s="502"/>
      <c r="I433" s="502"/>
      <c r="J433" s="504">
        <v>2550000</v>
      </c>
      <c r="K433" s="502">
        <f>SUM('[8]Közgé segéd'!M21)</f>
        <v>1700000</v>
      </c>
      <c r="L433" s="503"/>
      <c r="M433" s="388">
        <f t="shared" si="23"/>
        <v>1700000</v>
      </c>
    </row>
    <row r="434" spans="1:13" ht="25.5">
      <c r="A434" s="493">
        <v>20</v>
      </c>
      <c r="B434" s="1053" t="s">
        <v>763</v>
      </c>
      <c r="C434" s="1165" t="s">
        <v>962</v>
      </c>
      <c r="D434" s="504"/>
      <c r="E434" s="503"/>
      <c r="F434" s="502">
        <f>SUM('[8]Közgé'!D52)</f>
        <v>85</v>
      </c>
      <c r="G434" s="502"/>
      <c r="H434" s="502"/>
      <c r="I434" s="502"/>
      <c r="J434" s="504">
        <v>2550000</v>
      </c>
      <c r="K434" s="503"/>
      <c r="L434" s="502">
        <f>SUM('[8]Közgé segéd'!M39)</f>
        <v>5238124.999999999</v>
      </c>
      <c r="M434" s="388">
        <f t="shared" si="23"/>
        <v>5238124.999999999</v>
      </c>
    </row>
    <row r="435" spans="1:13" ht="25.5">
      <c r="A435" s="492">
        <v>20</v>
      </c>
      <c r="B435" s="1053" t="s">
        <v>763</v>
      </c>
      <c r="C435" s="1165" t="s">
        <v>882</v>
      </c>
      <c r="D435" s="505"/>
      <c r="E435" s="506">
        <f>SUM('[8]Közgé'!C207)</f>
        <v>161</v>
      </c>
      <c r="F435" s="506">
        <f>SUM('[8]Közgé'!D211)</f>
        <v>161</v>
      </c>
      <c r="G435" s="502">
        <f>E435*8/12</f>
        <v>107.33333333333333</v>
      </c>
      <c r="H435" s="502">
        <f>F435*4/12</f>
        <v>53.666666666666664</v>
      </c>
      <c r="I435" s="512">
        <f>ROUND(SUM(G435:H435),0)</f>
        <v>161</v>
      </c>
      <c r="J435" s="509">
        <v>71500</v>
      </c>
      <c r="K435" s="502">
        <f>G435*J435</f>
        <v>7674333.333333333</v>
      </c>
      <c r="L435" s="502">
        <f>H435*J435</f>
        <v>3837166.6666666665</v>
      </c>
      <c r="M435" s="388">
        <f t="shared" si="23"/>
        <v>11511500</v>
      </c>
    </row>
    <row r="436" spans="1:13" ht="25.5">
      <c r="A436" s="492">
        <v>20</v>
      </c>
      <c r="B436" s="1053" t="s">
        <v>763</v>
      </c>
      <c r="C436" s="1165" t="s">
        <v>1480</v>
      </c>
      <c r="D436" s="505"/>
      <c r="E436" s="506">
        <f>SUM('[8]Közgé'!C237)</f>
        <v>286</v>
      </c>
      <c r="F436" s="506"/>
      <c r="G436" s="502">
        <f>E436*8/12</f>
        <v>190.66666666666666</v>
      </c>
      <c r="H436" s="502">
        <f>F436*4/12</f>
        <v>0</v>
      </c>
      <c r="I436" s="512">
        <f>ROUND(SUM(G436:H436),0)</f>
        <v>191</v>
      </c>
      <c r="J436" s="509">
        <v>15000</v>
      </c>
      <c r="K436" s="502">
        <f>G436*J436</f>
        <v>2860000</v>
      </c>
      <c r="L436" s="502">
        <f>H436*J436</f>
        <v>0</v>
      </c>
      <c r="M436" s="388">
        <f t="shared" si="23"/>
        <v>2860000</v>
      </c>
    </row>
    <row r="437" spans="1:13" ht="25.5">
      <c r="A437" s="492">
        <v>20</v>
      </c>
      <c r="B437" s="1053" t="s">
        <v>763</v>
      </c>
      <c r="C437" s="1165" t="s">
        <v>1481</v>
      </c>
      <c r="D437" s="509"/>
      <c r="E437" s="506"/>
      <c r="F437" s="506">
        <v>285</v>
      </c>
      <c r="G437" s="506"/>
      <c r="H437" s="506">
        <v>95</v>
      </c>
      <c r="I437" s="539">
        <f>F437/12*4</f>
        <v>95</v>
      </c>
      <c r="J437" s="509">
        <v>18000</v>
      </c>
      <c r="K437" s="506"/>
      <c r="L437" s="506">
        <v>1710000</v>
      </c>
      <c r="M437" s="540">
        <f t="shared" si="23"/>
        <v>1710000</v>
      </c>
    </row>
    <row r="438" spans="1:13" ht="25.5">
      <c r="A438" s="492">
        <v>20</v>
      </c>
      <c r="B438" s="1053" t="s">
        <v>763</v>
      </c>
      <c r="C438" s="1165" t="s">
        <v>1508</v>
      </c>
      <c r="D438" s="505"/>
      <c r="E438" s="1273">
        <f>SUM('[8]Közgé'!C259)</f>
        <v>34</v>
      </c>
      <c r="F438" s="1273">
        <f>SUM('[8]Közgé'!D265)</f>
        <v>0</v>
      </c>
      <c r="G438" s="506"/>
      <c r="H438" s="506"/>
      <c r="I438" s="508">
        <f>SUM(E438:F438)</f>
        <v>34</v>
      </c>
      <c r="J438" s="509">
        <v>55000</v>
      </c>
      <c r="K438" s="502"/>
      <c r="L438" s="502"/>
      <c r="M438" s="388">
        <f>I438*J438</f>
        <v>1870000</v>
      </c>
    </row>
    <row r="439" spans="1:13" ht="25.5">
      <c r="A439" s="492">
        <v>20</v>
      </c>
      <c r="B439" s="1053" t="s">
        <v>763</v>
      </c>
      <c r="C439" s="1165" t="s">
        <v>1509</v>
      </c>
      <c r="D439" s="505"/>
      <c r="E439" s="1285"/>
      <c r="F439" s="1273">
        <f>SUM('[8]Közgé'!D269)</f>
        <v>135</v>
      </c>
      <c r="G439" s="506"/>
      <c r="H439" s="506"/>
      <c r="I439" s="508">
        <f>F439</f>
        <v>135</v>
      </c>
      <c r="J439" s="509">
        <v>10000</v>
      </c>
      <c r="K439" s="503"/>
      <c r="L439" s="502"/>
      <c r="M439" s="388">
        <f>I439*J439</f>
        <v>1350000</v>
      </c>
    </row>
    <row r="440" spans="1:13" ht="25.5">
      <c r="A440" s="492">
        <v>20</v>
      </c>
      <c r="B440" s="556" t="s">
        <v>763</v>
      </c>
      <c r="C440" s="1166" t="s">
        <v>878</v>
      </c>
      <c r="D440" s="514"/>
      <c r="E440" s="1286"/>
      <c r="F440" s="1272">
        <f>SUM('[8]Közgé'!D270)</f>
        <v>645</v>
      </c>
      <c r="G440" s="515"/>
      <c r="H440" s="515"/>
      <c r="I440" s="516">
        <f>F440</f>
        <v>645</v>
      </c>
      <c r="J440" s="517">
        <v>1000</v>
      </c>
      <c r="K440" s="528"/>
      <c r="L440" s="518"/>
      <c r="M440" s="519">
        <f>I440*J440</f>
        <v>645000</v>
      </c>
    </row>
    <row r="441" spans="2:13" ht="14.25">
      <c r="B441" s="1425" t="s">
        <v>764</v>
      </c>
      <c r="C441" s="1426"/>
      <c r="D441" s="1426"/>
      <c r="E441" s="1426"/>
      <c r="F441" s="1426"/>
      <c r="G441" s="1426"/>
      <c r="H441" s="1426"/>
      <c r="I441" s="1427"/>
      <c r="J441" s="466"/>
      <c r="K441" s="529"/>
      <c r="L441" s="530"/>
      <c r="M441" s="521">
        <f>SUM(M427:M440)</f>
        <v>175668531.5934066</v>
      </c>
    </row>
    <row r="442" spans="1:13" ht="12.75">
      <c r="A442" s="493">
        <v>21</v>
      </c>
      <c r="B442" s="522" t="s">
        <v>765</v>
      </c>
      <c r="C442" s="1163" t="s">
        <v>1477</v>
      </c>
      <c r="D442" s="498"/>
      <c r="E442" s="497">
        <f>SUM('[8]Gépipari'!C41)</f>
        <v>273.8</v>
      </c>
      <c r="F442" s="541"/>
      <c r="G442" s="497"/>
      <c r="H442" s="497"/>
      <c r="I442" s="497"/>
      <c r="J442" s="498">
        <v>2550000</v>
      </c>
      <c r="K442" s="497">
        <f>SUM('[8]Gépipari segéd'!M17)</f>
        <v>38732921.42857143</v>
      </c>
      <c r="L442" s="496"/>
      <c r="M442" s="499">
        <f aca="true" t="shared" si="24" ref="M442:M457">SUM(K442:L442)</f>
        <v>38732921.42857143</v>
      </c>
    </row>
    <row r="443" spans="1:13" ht="12.75">
      <c r="A443" s="493">
        <v>21</v>
      </c>
      <c r="B443" s="523" t="s">
        <v>765</v>
      </c>
      <c r="C443" s="1164" t="s">
        <v>1478</v>
      </c>
      <c r="D443" s="504"/>
      <c r="E443" s="502">
        <f>SUM('[8]Gépipari'!C42)</f>
        <v>264.7</v>
      </c>
      <c r="F443" s="538"/>
      <c r="G443" s="502"/>
      <c r="H443" s="502"/>
      <c r="I443" s="502"/>
      <c r="J443" s="504">
        <v>2550000</v>
      </c>
      <c r="K443" s="502">
        <f>SUM('[8]Gépipari segéd'!M18)</f>
        <v>40326026.92307693</v>
      </c>
      <c r="L443" s="503"/>
      <c r="M443" s="388">
        <f t="shared" si="24"/>
        <v>40326026.92307693</v>
      </c>
    </row>
    <row r="444" spans="1:13" ht="12.75">
      <c r="A444" s="493">
        <v>21</v>
      </c>
      <c r="B444" s="523" t="s">
        <v>765</v>
      </c>
      <c r="C444" s="1164" t="s">
        <v>969</v>
      </c>
      <c r="D444" s="504"/>
      <c r="E444" s="502">
        <f>SUM('[8]Gépipari'!C43)</f>
        <v>335.6</v>
      </c>
      <c r="F444" s="538"/>
      <c r="G444" s="502"/>
      <c r="H444" s="502"/>
      <c r="I444" s="502"/>
      <c r="J444" s="504">
        <v>2550000</v>
      </c>
      <c r="K444" s="502">
        <f>SUM('[8]Gépipari segéd'!M19)</f>
        <v>60520000</v>
      </c>
      <c r="L444" s="503"/>
      <c r="M444" s="388">
        <f t="shared" si="24"/>
        <v>60520000</v>
      </c>
    </row>
    <row r="445" spans="1:13" ht="12.75">
      <c r="A445" s="493">
        <v>21</v>
      </c>
      <c r="B445" s="523" t="s">
        <v>765</v>
      </c>
      <c r="C445" s="1164" t="s">
        <v>757</v>
      </c>
      <c r="D445" s="504"/>
      <c r="E445" s="503"/>
      <c r="F445" s="502">
        <f>SUM('[8]Gépipari'!D45)</f>
        <v>546</v>
      </c>
      <c r="G445" s="502"/>
      <c r="H445" s="502"/>
      <c r="I445" s="502"/>
      <c r="J445" s="504">
        <v>2550000</v>
      </c>
      <c r="K445" s="503"/>
      <c r="L445" s="502">
        <f>SUM('[8]Gépipari segéd'!M37)</f>
        <v>38590000</v>
      </c>
      <c r="M445" s="388">
        <f t="shared" si="24"/>
        <v>38590000</v>
      </c>
    </row>
    <row r="446" spans="1:13" ht="12.75">
      <c r="A446" s="493">
        <v>21</v>
      </c>
      <c r="B446" s="523" t="s">
        <v>765</v>
      </c>
      <c r="C446" s="1164" t="s">
        <v>758</v>
      </c>
      <c r="D446" s="504"/>
      <c r="E446" s="503"/>
      <c r="F446" s="502">
        <f>SUM('[8]Gépipari'!D46)</f>
        <v>334</v>
      </c>
      <c r="G446" s="502"/>
      <c r="H446" s="502"/>
      <c r="I446" s="502"/>
      <c r="J446" s="504">
        <v>2550000</v>
      </c>
      <c r="K446" s="503"/>
      <c r="L446" s="502">
        <f>SUM('[8]Gépipari segéd'!M38)</f>
        <v>30137076.923076924</v>
      </c>
      <c r="M446" s="388">
        <f t="shared" si="24"/>
        <v>30137076.923076924</v>
      </c>
    </row>
    <row r="447" spans="1:13" ht="25.5">
      <c r="A447" s="493">
        <v>21</v>
      </c>
      <c r="B447" s="523" t="s">
        <v>765</v>
      </c>
      <c r="C447" s="1165" t="s">
        <v>593</v>
      </c>
      <c r="D447" s="504"/>
      <c r="E447" s="502">
        <f>SUM('[8]Gépipari'!C49)</f>
        <v>204.2</v>
      </c>
      <c r="F447" s="538"/>
      <c r="G447" s="502"/>
      <c r="H447" s="502"/>
      <c r="I447" s="502"/>
      <c r="J447" s="504">
        <v>2550000</v>
      </c>
      <c r="K447" s="502">
        <f>SUM('[8]Gépipari segéd'!M20)</f>
        <v>25160000</v>
      </c>
      <c r="L447" s="503"/>
      <c r="M447" s="388">
        <f t="shared" si="24"/>
        <v>25160000</v>
      </c>
    </row>
    <row r="448" spans="1:13" ht="25.5">
      <c r="A448" s="493">
        <v>21</v>
      </c>
      <c r="B448" s="523" t="s">
        <v>765</v>
      </c>
      <c r="C448" s="1165" t="s">
        <v>961</v>
      </c>
      <c r="D448" s="504"/>
      <c r="E448" s="502">
        <f>SUM('[8]Gépipari'!C50)</f>
        <v>146</v>
      </c>
      <c r="F448" s="503"/>
      <c r="G448" s="502"/>
      <c r="H448" s="502"/>
      <c r="I448" s="502"/>
      <c r="J448" s="504">
        <v>2550000</v>
      </c>
      <c r="K448" s="502">
        <f>SUM('[8]Gépipari segéd'!M21)</f>
        <v>19380000</v>
      </c>
      <c r="L448" s="503"/>
      <c r="M448" s="388">
        <f t="shared" si="24"/>
        <v>19380000</v>
      </c>
    </row>
    <row r="449" spans="1:13" ht="25.5">
      <c r="A449" s="493">
        <v>21</v>
      </c>
      <c r="B449" s="523" t="s">
        <v>765</v>
      </c>
      <c r="C449" s="1165" t="s">
        <v>1479</v>
      </c>
      <c r="D449" s="504"/>
      <c r="E449" s="503"/>
      <c r="F449" s="502">
        <f>SUM('[8]Gépipari'!D52)</f>
        <v>314</v>
      </c>
      <c r="G449" s="502"/>
      <c r="H449" s="502"/>
      <c r="I449" s="502"/>
      <c r="J449" s="504">
        <v>2550000</v>
      </c>
      <c r="K449" s="503"/>
      <c r="L449" s="502">
        <f>SUM('[8]Gépipari segéd'!M39)</f>
        <v>19350249.999999996</v>
      </c>
      <c r="M449" s="388">
        <f t="shared" si="24"/>
        <v>19350249.999999996</v>
      </c>
    </row>
    <row r="450" spans="1:13" ht="25.5">
      <c r="A450" s="493">
        <v>21</v>
      </c>
      <c r="B450" s="523" t="s">
        <v>765</v>
      </c>
      <c r="C450" s="1165" t="s">
        <v>963</v>
      </c>
      <c r="D450" s="504"/>
      <c r="E450" s="503"/>
      <c r="F450" s="502">
        <f>SUM('[8]Gépipari'!D53)</f>
        <v>31</v>
      </c>
      <c r="G450" s="502"/>
      <c r="H450" s="502"/>
      <c r="I450" s="502"/>
      <c r="J450" s="504">
        <v>2550000</v>
      </c>
      <c r="K450" s="503"/>
      <c r="L450" s="502">
        <f>SUM('[8]Gépipari segéd'!M40)</f>
        <v>2057326.923076923</v>
      </c>
      <c r="M450" s="388">
        <f t="shared" si="24"/>
        <v>2057326.923076923</v>
      </c>
    </row>
    <row r="451" spans="1:13" ht="25.5">
      <c r="A451" s="492">
        <v>21</v>
      </c>
      <c r="B451" s="523" t="s">
        <v>765</v>
      </c>
      <c r="C451" s="1165" t="s">
        <v>317</v>
      </c>
      <c r="D451" s="501"/>
      <c r="E451" s="502">
        <f>SUM('[8]Gépipari'!C110)</f>
        <v>329</v>
      </c>
      <c r="F451" s="502">
        <f>SUM('[8]Gépipari'!D111)</f>
        <v>329</v>
      </c>
      <c r="G451" s="502">
        <f aca="true" t="shared" si="25" ref="G451:G456">E451*8/12</f>
        <v>219.33333333333334</v>
      </c>
      <c r="H451" s="502">
        <f aca="true" t="shared" si="26" ref="H451:H456">F451*4/12</f>
        <v>109.66666666666667</v>
      </c>
      <c r="I451" s="512">
        <f>SUM(G451:H451)</f>
        <v>329</v>
      </c>
      <c r="J451" s="504">
        <v>40000</v>
      </c>
      <c r="K451" s="502">
        <f aca="true" t="shared" si="27" ref="K451:K456">G451*J451</f>
        <v>8773333.333333334</v>
      </c>
      <c r="L451" s="502">
        <f aca="true" t="shared" si="28" ref="L451:L456">H451*J451</f>
        <v>4386666.666666667</v>
      </c>
      <c r="M451" s="388">
        <f t="shared" si="24"/>
        <v>13160000</v>
      </c>
    </row>
    <row r="452" spans="1:13" ht="25.5">
      <c r="A452" s="492">
        <v>21</v>
      </c>
      <c r="B452" s="523" t="s">
        <v>765</v>
      </c>
      <c r="C452" s="1165" t="s">
        <v>321</v>
      </c>
      <c r="D452" s="509"/>
      <c r="E452" s="502">
        <f>SUM('[8]Gépipari'!C114)</f>
        <v>85</v>
      </c>
      <c r="F452" s="502">
        <f>SUM('[8]Gépipari'!D115)</f>
        <v>89</v>
      </c>
      <c r="G452" s="502">
        <f t="shared" si="25"/>
        <v>56.666666666666664</v>
      </c>
      <c r="H452" s="502">
        <f t="shared" si="26"/>
        <v>29.666666666666668</v>
      </c>
      <c r="I452" s="512">
        <f>SUM(G452:H452)</f>
        <v>86.33333333333333</v>
      </c>
      <c r="J452" s="509">
        <v>112000</v>
      </c>
      <c r="K452" s="502">
        <f t="shared" si="27"/>
        <v>6346666.666666666</v>
      </c>
      <c r="L452" s="502">
        <f t="shared" si="28"/>
        <v>3322666.666666667</v>
      </c>
      <c r="M452" s="388">
        <f t="shared" si="24"/>
        <v>9669333.333333332</v>
      </c>
    </row>
    <row r="453" spans="1:13" ht="25.5">
      <c r="A453" s="492">
        <v>21</v>
      </c>
      <c r="B453" s="523" t="s">
        <v>765</v>
      </c>
      <c r="C453" s="1165" t="s">
        <v>323</v>
      </c>
      <c r="D453" s="509"/>
      <c r="E453" s="502">
        <f>SUM('[8]Gépipari'!C117)</f>
        <v>63.2</v>
      </c>
      <c r="F453" s="502">
        <f>SUM('[8]Gépipari'!D118)</f>
        <v>35</v>
      </c>
      <c r="G453" s="502">
        <f t="shared" si="25"/>
        <v>42.13333333333333</v>
      </c>
      <c r="H453" s="502">
        <f t="shared" si="26"/>
        <v>11.666666666666666</v>
      </c>
      <c r="I453" s="512">
        <f>SUM(G453:H453)</f>
        <v>53.8</v>
      </c>
      <c r="J453" s="509">
        <v>156800</v>
      </c>
      <c r="K453" s="502">
        <f t="shared" si="27"/>
        <v>6606506.666666667</v>
      </c>
      <c r="L453" s="502">
        <f t="shared" si="28"/>
        <v>1829333.3333333333</v>
      </c>
      <c r="M453" s="388">
        <f t="shared" si="24"/>
        <v>8435840</v>
      </c>
    </row>
    <row r="454" spans="1:13" ht="25.5">
      <c r="A454" s="492">
        <v>21</v>
      </c>
      <c r="B454" s="523" t="s">
        <v>765</v>
      </c>
      <c r="C454" s="1165" t="s">
        <v>325</v>
      </c>
      <c r="D454" s="509"/>
      <c r="E454" s="502">
        <f>SUM('[8]Gépipari'!C120)</f>
        <v>0</v>
      </c>
      <c r="F454" s="502">
        <f>SUM('[8]Gépipari'!D121)</f>
        <v>12</v>
      </c>
      <c r="G454" s="507">
        <f t="shared" si="25"/>
        <v>0</v>
      </c>
      <c r="H454" s="507">
        <f t="shared" si="26"/>
        <v>4</v>
      </c>
      <c r="I454" s="512">
        <f>SUM(G454:H454)</f>
        <v>4</v>
      </c>
      <c r="J454" s="509">
        <v>67200</v>
      </c>
      <c r="K454" s="502">
        <f t="shared" si="27"/>
        <v>0</v>
      </c>
      <c r="L454" s="502">
        <f t="shared" si="28"/>
        <v>268800</v>
      </c>
      <c r="M454" s="388">
        <f t="shared" si="24"/>
        <v>268800</v>
      </c>
    </row>
    <row r="455" spans="1:13" ht="38.25">
      <c r="A455" s="492">
        <v>21</v>
      </c>
      <c r="B455" s="523" t="s">
        <v>765</v>
      </c>
      <c r="C455" s="1165" t="s">
        <v>327</v>
      </c>
      <c r="D455" s="509"/>
      <c r="E455" s="502">
        <f>SUM('[8]Gépipari'!C123)</f>
        <v>212</v>
      </c>
      <c r="F455" s="502">
        <f>SUM('[8]Gépipari'!D124)</f>
        <v>233</v>
      </c>
      <c r="G455" s="507">
        <f t="shared" si="25"/>
        <v>141.33333333333334</v>
      </c>
      <c r="H455" s="507">
        <f t="shared" si="26"/>
        <v>77.66666666666667</v>
      </c>
      <c r="I455" s="512">
        <f>SUM(G455:H455)</f>
        <v>219</v>
      </c>
      <c r="J455" s="509">
        <v>22400</v>
      </c>
      <c r="K455" s="502">
        <f t="shared" si="27"/>
        <v>3165866.666666667</v>
      </c>
      <c r="L455" s="502">
        <f t="shared" si="28"/>
        <v>1739733.3333333335</v>
      </c>
      <c r="M455" s="388">
        <f t="shared" si="24"/>
        <v>4905600</v>
      </c>
    </row>
    <row r="456" spans="1:13" ht="12.75">
      <c r="A456" s="492">
        <v>21</v>
      </c>
      <c r="B456" s="523" t="s">
        <v>765</v>
      </c>
      <c r="C456" s="1165" t="s">
        <v>1480</v>
      </c>
      <c r="D456" s="505"/>
      <c r="E456" s="506">
        <f>SUM('[8]Gépipari'!C237)</f>
        <v>650</v>
      </c>
      <c r="F456" s="506"/>
      <c r="G456" s="502">
        <f t="shared" si="25"/>
        <v>433.3333333333333</v>
      </c>
      <c r="H456" s="502">
        <f t="shared" si="26"/>
        <v>0</v>
      </c>
      <c r="I456" s="512">
        <f>ROUND(SUM(G456:H456),0)</f>
        <v>433</v>
      </c>
      <c r="J456" s="509">
        <v>15000</v>
      </c>
      <c r="K456" s="502">
        <f t="shared" si="27"/>
        <v>6500000</v>
      </c>
      <c r="L456" s="502">
        <f t="shared" si="28"/>
        <v>0</v>
      </c>
      <c r="M456" s="388">
        <f t="shared" si="24"/>
        <v>6500000</v>
      </c>
    </row>
    <row r="457" spans="1:13" ht="12.75">
      <c r="A457" s="492">
        <v>21</v>
      </c>
      <c r="B457" s="523" t="s">
        <v>765</v>
      </c>
      <c r="C457" s="1165" t="s">
        <v>1481</v>
      </c>
      <c r="D457" s="509"/>
      <c r="E457" s="506"/>
      <c r="F457" s="506">
        <v>650</v>
      </c>
      <c r="G457" s="506"/>
      <c r="H457" s="506">
        <v>216.66666666666666</v>
      </c>
      <c r="I457" s="539">
        <f>F457/12*4</f>
        <v>216.66666666666666</v>
      </c>
      <c r="J457" s="509">
        <v>18000</v>
      </c>
      <c r="K457" s="506"/>
      <c r="L457" s="506">
        <v>3900000</v>
      </c>
      <c r="M457" s="540">
        <f t="shared" si="24"/>
        <v>3900000</v>
      </c>
    </row>
    <row r="458" spans="1:13" ht="25.5">
      <c r="A458" s="492">
        <v>21</v>
      </c>
      <c r="B458" s="523" t="s">
        <v>765</v>
      </c>
      <c r="C458" s="1165" t="s">
        <v>1508</v>
      </c>
      <c r="D458" s="505"/>
      <c r="E458" s="1273">
        <f>SUM('[8]Gépipari'!C259)</f>
        <v>48</v>
      </c>
      <c r="F458" s="1273">
        <f>SUM('[8]Gépipari'!D265)</f>
        <v>0</v>
      </c>
      <c r="G458" s="506"/>
      <c r="H458" s="506"/>
      <c r="I458" s="508">
        <f>SUM(E458:F458)</f>
        <v>48</v>
      </c>
      <c r="J458" s="509">
        <v>55000</v>
      </c>
      <c r="K458" s="502"/>
      <c r="L458" s="502"/>
      <c r="M458" s="388">
        <f>I458*J458</f>
        <v>2640000</v>
      </c>
    </row>
    <row r="459" spans="1:13" ht="12.75">
      <c r="A459" s="492">
        <v>21</v>
      </c>
      <c r="B459" s="523" t="s">
        <v>765</v>
      </c>
      <c r="C459" s="1165" t="s">
        <v>1509</v>
      </c>
      <c r="D459" s="505"/>
      <c r="E459" s="1285"/>
      <c r="F459" s="1273">
        <f>SUM('[8]Gépipari'!D269)</f>
        <v>318</v>
      </c>
      <c r="G459" s="506"/>
      <c r="H459" s="506"/>
      <c r="I459" s="508">
        <f>F459</f>
        <v>318</v>
      </c>
      <c r="J459" s="509">
        <v>10000</v>
      </c>
      <c r="K459" s="503"/>
      <c r="L459" s="502"/>
      <c r="M459" s="388">
        <f>I459*J459</f>
        <v>3180000</v>
      </c>
    </row>
    <row r="460" spans="1:13" ht="12.75">
      <c r="A460" s="492">
        <v>21</v>
      </c>
      <c r="B460" s="526" t="s">
        <v>765</v>
      </c>
      <c r="C460" s="1166" t="s">
        <v>878</v>
      </c>
      <c r="D460" s="514"/>
      <c r="E460" s="1286"/>
      <c r="F460" s="1272">
        <f>SUM('[8]Gépipari'!D270)</f>
        <v>1178</v>
      </c>
      <c r="G460" s="515"/>
      <c r="H460" s="515"/>
      <c r="I460" s="516">
        <f>F460</f>
        <v>1178</v>
      </c>
      <c r="J460" s="517">
        <v>1000</v>
      </c>
      <c r="K460" s="528"/>
      <c r="L460" s="518"/>
      <c r="M460" s="519">
        <f>I460*J460</f>
        <v>1178000</v>
      </c>
    </row>
    <row r="461" spans="2:13" ht="14.25">
      <c r="B461" s="1419" t="s">
        <v>595</v>
      </c>
      <c r="C461" s="1420"/>
      <c r="D461" s="1420"/>
      <c r="E461" s="1420"/>
      <c r="F461" s="1420"/>
      <c r="G461" s="1420"/>
      <c r="H461" s="1420"/>
      <c r="I461" s="1421"/>
      <c r="J461" s="466"/>
      <c r="K461" s="544"/>
      <c r="L461" s="530"/>
      <c r="M461" s="521">
        <f>SUM(M442:M460)</f>
        <v>328091175.5311355</v>
      </c>
    </row>
    <row r="462" spans="1:13" ht="12.75">
      <c r="A462" s="493">
        <v>22</v>
      </c>
      <c r="B462" s="522" t="s">
        <v>1486</v>
      </c>
      <c r="C462" s="1163" t="s">
        <v>1477</v>
      </c>
      <c r="D462" s="498"/>
      <c r="E462" s="497">
        <f>SUM('[8]Pálfy'!C41)</f>
        <v>106</v>
      </c>
      <c r="F462" s="541"/>
      <c r="G462" s="497"/>
      <c r="H462" s="497"/>
      <c r="I462" s="497"/>
      <c r="J462" s="498">
        <v>2550000</v>
      </c>
      <c r="K462" s="497">
        <f>SUM('[8]Pálfy segéd'!M17)</f>
        <v>14995214.285714284</v>
      </c>
      <c r="L462" s="496"/>
      <c r="M462" s="499">
        <f aca="true" t="shared" si="29" ref="M462:M477">SUM(K462:L462)</f>
        <v>14995214.285714284</v>
      </c>
    </row>
    <row r="463" spans="1:13" ht="12.75">
      <c r="A463" s="493">
        <v>22</v>
      </c>
      <c r="B463" s="523" t="s">
        <v>1486</v>
      </c>
      <c r="C463" s="1164" t="s">
        <v>1478</v>
      </c>
      <c r="D463" s="504"/>
      <c r="E463" s="502">
        <f>SUM('[8]Pálfy'!C42)</f>
        <v>133</v>
      </c>
      <c r="F463" s="538"/>
      <c r="G463" s="502"/>
      <c r="H463" s="502"/>
      <c r="I463" s="502"/>
      <c r="J463" s="504">
        <v>2550000</v>
      </c>
      <c r="K463" s="502">
        <f>SUM('[8]Pálfy segéd'!M18)</f>
        <v>20262038.46153846</v>
      </c>
      <c r="L463" s="503"/>
      <c r="M463" s="388">
        <f t="shared" si="29"/>
        <v>20262038.46153846</v>
      </c>
    </row>
    <row r="464" spans="1:13" ht="12.75">
      <c r="A464" s="493">
        <v>22</v>
      </c>
      <c r="B464" s="523" t="s">
        <v>1486</v>
      </c>
      <c r="C464" s="1164" t="s">
        <v>969</v>
      </c>
      <c r="D464" s="504"/>
      <c r="E464" s="502">
        <f>SUM('[8]Pálfy'!C43)</f>
        <v>225</v>
      </c>
      <c r="F464" s="538"/>
      <c r="G464" s="502"/>
      <c r="H464" s="502"/>
      <c r="I464" s="502"/>
      <c r="J464" s="504">
        <v>2550000</v>
      </c>
      <c r="K464" s="502">
        <f>SUM('[8]Pálfy segéd'!M19)</f>
        <v>40630000</v>
      </c>
      <c r="L464" s="503"/>
      <c r="M464" s="388">
        <f t="shared" si="29"/>
        <v>40630000</v>
      </c>
    </row>
    <row r="465" spans="1:13" ht="12.75">
      <c r="A465" s="493">
        <v>22</v>
      </c>
      <c r="B465" s="523" t="s">
        <v>1486</v>
      </c>
      <c r="C465" s="1164" t="s">
        <v>757</v>
      </c>
      <c r="D465" s="504"/>
      <c r="E465" s="503"/>
      <c r="F465" s="502">
        <f>SUM('[8]Pálfy'!D45)</f>
        <v>210</v>
      </c>
      <c r="G465" s="502"/>
      <c r="H465" s="502"/>
      <c r="I465" s="502"/>
      <c r="J465" s="504">
        <v>2550000</v>
      </c>
      <c r="K465" s="503"/>
      <c r="L465" s="502">
        <f>SUM('[8]Pálfy segéd'!M37)</f>
        <v>14875000</v>
      </c>
      <c r="M465" s="388">
        <f t="shared" si="29"/>
        <v>14875000</v>
      </c>
    </row>
    <row r="466" spans="1:13" ht="12.75">
      <c r="A466" s="493">
        <v>22</v>
      </c>
      <c r="B466" s="523" t="s">
        <v>1486</v>
      </c>
      <c r="C466" s="1164" t="s">
        <v>758</v>
      </c>
      <c r="D466" s="504"/>
      <c r="E466" s="503"/>
      <c r="F466" s="502">
        <f>SUM('[8]Pálfy'!D46)</f>
        <v>247</v>
      </c>
      <c r="G466" s="502"/>
      <c r="H466" s="502"/>
      <c r="I466" s="502"/>
      <c r="J466" s="504">
        <v>2550000</v>
      </c>
      <c r="K466" s="503"/>
      <c r="L466" s="502">
        <f>SUM('[8]Pálfy segéd'!M38)</f>
        <v>22287000</v>
      </c>
      <c r="M466" s="388">
        <f t="shared" si="29"/>
        <v>22287000</v>
      </c>
    </row>
    <row r="467" spans="1:13" ht="25.5">
      <c r="A467" s="493">
        <v>22</v>
      </c>
      <c r="B467" s="523" t="s">
        <v>1486</v>
      </c>
      <c r="C467" s="1165" t="s">
        <v>960</v>
      </c>
      <c r="D467" s="504"/>
      <c r="E467" s="502">
        <f>SUM('[8]Pálfy'!C49)</f>
        <v>17</v>
      </c>
      <c r="F467" s="538"/>
      <c r="G467" s="502"/>
      <c r="H467" s="502"/>
      <c r="I467" s="502"/>
      <c r="J467" s="504">
        <v>2550000</v>
      </c>
      <c r="K467" s="502">
        <f>SUM('[8]Pálfy segéd'!M20)</f>
        <v>2040000</v>
      </c>
      <c r="L467" s="503"/>
      <c r="M467" s="388">
        <f t="shared" si="29"/>
        <v>2040000</v>
      </c>
    </row>
    <row r="468" spans="1:13" ht="25.5">
      <c r="A468" s="493">
        <v>22</v>
      </c>
      <c r="B468" s="523" t="s">
        <v>1486</v>
      </c>
      <c r="C468" s="1165" t="s">
        <v>961</v>
      </c>
      <c r="D468" s="504"/>
      <c r="E468" s="502">
        <f>SUM('[8]Pálfy'!C50)</f>
        <v>71</v>
      </c>
      <c r="F468" s="503"/>
      <c r="G468" s="502"/>
      <c r="H468" s="502"/>
      <c r="I468" s="502"/>
      <c r="J468" s="504">
        <v>2550000</v>
      </c>
      <c r="K468" s="502">
        <f>SUM('[8]Pálfy segéd'!M21)</f>
        <v>9350000</v>
      </c>
      <c r="L468" s="503"/>
      <c r="M468" s="388">
        <f t="shared" si="29"/>
        <v>9350000</v>
      </c>
    </row>
    <row r="469" spans="1:13" ht="25.5">
      <c r="A469" s="493">
        <v>22</v>
      </c>
      <c r="B469" s="523" t="s">
        <v>1486</v>
      </c>
      <c r="C469" s="1165" t="s">
        <v>1479</v>
      </c>
      <c r="D469" s="504"/>
      <c r="E469" s="503"/>
      <c r="F469" s="502">
        <f>SUM('[8]Pálfy'!D52)</f>
        <v>85</v>
      </c>
      <c r="G469" s="502"/>
      <c r="H469" s="502"/>
      <c r="I469" s="502"/>
      <c r="J469" s="504">
        <v>2550000</v>
      </c>
      <c r="K469" s="503"/>
      <c r="L469" s="502">
        <f>SUM('[8]Pálfy segéd'!M39)</f>
        <v>5238124.999999999</v>
      </c>
      <c r="M469" s="388">
        <f t="shared" si="29"/>
        <v>5238124.999999999</v>
      </c>
    </row>
    <row r="470" spans="1:13" ht="25.5">
      <c r="A470" s="492">
        <v>22</v>
      </c>
      <c r="B470" s="523" t="s">
        <v>1486</v>
      </c>
      <c r="C470" s="1165" t="s">
        <v>323</v>
      </c>
      <c r="D470" s="509"/>
      <c r="E470" s="502">
        <f>SUM('[8]Pálfy'!C117)</f>
        <v>17</v>
      </c>
      <c r="F470" s="502">
        <f>SUM('[8]Pálfy'!D118)</f>
        <v>12</v>
      </c>
      <c r="G470" s="502">
        <f>E470*8/12</f>
        <v>11.333333333333334</v>
      </c>
      <c r="H470" s="502">
        <f>F470*4/12</f>
        <v>4</v>
      </c>
      <c r="I470" s="512">
        <f aca="true" t="shared" si="30" ref="I470:I475">SUM(G470:H470)</f>
        <v>15.333333333333334</v>
      </c>
      <c r="J470" s="509">
        <v>156800</v>
      </c>
      <c r="K470" s="502">
        <f>G470*J470</f>
        <v>1777066.6666666667</v>
      </c>
      <c r="L470" s="502">
        <f>H470*J470</f>
        <v>627200</v>
      </c>
      <c r="M470" s="388">
        <f t="shared" si="29"/>
        <v>2404266.666666667</v>
      </c>
    </row>
    <row r="471" spans="1:13" ht="25.5">
      <c r="A471" s="492">
        <v>22</v>
      </c>
      <c r="B471" s="523" t="s">
        <v>1486</v>
      </c>
      <c r="C471" s="1165" t="s">
        <v>325</v>
      </c>
      <c r="D471" s="509"/>
      <c r="E471" s="502">
        <f>SUM('[8]Pálfy'!C120)</f>
        <v>71</v>
      </c>
      <c r="F471" s="502">
        <f>SUM('[8]Pálfy'!D121)</f>
        <v>73</v>
      </c>
      <c r="G471" s="507">
        <f>E471*8/12</f>
        <v>47.333333333333336</v>
      </c>
      <c r="H471" s="507">
        <f>F471*4/12</f>
        <v>24.333333333333332</v>
      </c>
      <c r="I471" s="512">
        <f t="shared" si="30"/>
        <v>71.66666666666667</v>
      </c>
      <c r="J471" s="509">
        <v>67200</v>
      </c>
      <c r="K471" s="502">
        <f>G471*J471</f>
        <v>3180800</v>
      </c>
      <c r="L471" s="502">
        <f>H471*J471</f>
        <v>1635200</v>
      </c>
      <c r="M471" s="388">
        <f t="shared" si="29"/>
        <v>4816000</v>
      </c>
    </row>
    <row r="472" spans="1:13" ht="51">
      <c r="A472" s="492">
        <v>22</v>
      </c>
      <c r="B472" s="523" t="s">
        <v>1486</v>
      </c>
      <c r="C472" s="1165" t="s">
        <v>341</v>
      </c>
      <c r="D472" s="509"/>
      <c r="E472" s="506">
        <f>SUM('[8]Pálfy'!C146)</f>
        <v>4</v>
      </c>
      <c r="F472" s="506">
        <f>SUM('[8]Pálfy'!D151)</f>
        <v>0</v>
      </c>
      <c r="G472" s="507">
        <f>E472*8/12</f>
        <v>2.6666666666666665</v>
      </c>
      <c r="H472" s="507">
        <f>F472*4/12</f>
        <v>0</v>
      </c>
      <c r="I472" s="508">
        <f t="shared" si="30"/>
        <v>2.6666666666666665</v>
      </c>
      <c r="J472" s="509">
        <v>384000</v>
      </c>
      <c r="K472" s="502">
        <f>G472*J472</f>
        <v>1024000</v>
      </c>
      <c r="L472" s="502">
        <f>H472*J472</f>
        <v>0</v>
      </c>
      <c r="M472" s="388">
        <f t="shared" si="29"/>
        <v>1024000</v>
      </c>
    </row>
    <row r="473" spans="1:13" ht="51">
      <c r="A473" s="492">
        <v>22</v>
      </c>
      <c r="B473" s="523" t="s">
        <v>1486</v>
      </c>
      <c r="C473" s="1165" t="s">
        <v>716</v>
      </c>
      <c r="D473" s="509"/>
      <c r="E473" s="506">
        <f>SUM('[8]Pálfy'!C160)</f>
        <v>12</v>
      </c>
      <c r="F473" s="503"/>
      <c r="G473" s="507">
        <f>E473*8/12</f>
        <v>8</v>
      </c>
      <c r="H473" s="511"/>
      <c r="I473" s="508">
        <f t="shared" si="30"/>
        <v>8</v>
      </c>
      <c r="J473" s="509">
        <v>192000</v>
      </c>
      <c r="K473" s="502">
        <f>G473*J473</f>
        <v>1536000</v>
      </c>
      <c r="L473" s="503"/>
      <c r="M473" s="388">
        <f t="shared" si="29"/>
        <v>1536000</v>
      </c>
    </row>
    <row r="474" spans="1:13" ht="45" customHeight="1">
      <c r="A474" s="492">
        <v>22</v>
      </c>
      <c r="B474" s="523" t="s">
        <v>1486</v>
      </c>
      <c r="C474" s="1165" t="s">
        <v>1336</v>
      </c>
      <c r="D474" s="505"/>
      <c r="E474" s="510"/>
      <c r="F474" s="506">
        <f>SUM('[8]Pálfy'!D166)</f>
        <v>2</v>
      </c>
      <c r="G474" s="506"/>
      <c r="H474" s="507">
        <f>F474*4/12</f>
        <v>0.6666666666666666</v>
      </c>
      <c r="I474" s="508">
        <f t="shared" si="30"/>
        <v>0.6666666666666666</v>
      </c>
      <c r="J474" s="509">
        <v>192000</v>
      </c>
      <c r="K474" s="510"/>
      <c r="L474" s="502">
        <f>H474*J474</f>
        <v>128000</v>
      </c>
      <c r="M474" s="388">
        <f t="shared" si="29"/>
        <v>128000</v>
      </c>
    </row>
    <row r="475" spans="1:13" ht="38.25">
      <c r="A475" s="492">
        <v>22</v>
      </c>
      <c r="B475" s="523" t="s">
        <v>1486</v>
      </c>
      <c r="C475" s="1165" t="s">
        <v>1337</v>
      </c>
      <c r="D475" s="505"/>
      <c r="E475" s="510"/>
      <c r="F475" s="506">
        <f>SUM('[8]Pálfy'!D172)</f>
        <v>14</v>
      </c>
      <c r="G475" s="506"/>
      <c r="H475" s="507">
        <f>F475*4/12</f>
        <v>4.666666666666667</v>
      </c>
      <c r="I475" s="508">
        <f t="shared" si="30"/>
        <v>4.666666666666667</v>
      </c>
      <c r="J475" s="509">
        <v>144000</v>
      </c>
      <c r="K475" s="510"/>
      <c r="L475" s="506">
        <f>I475*J475</f>
        <v>672000</v>
      </c>
      <c r="M475" s="388">
        <f t="shared" si="29"/>
        <v>672000</v>
      </c>
    </row>
    <row r="476" spans="1:13" ht="12.75">
      <c r="A476" s="492">
        <v>22</v>
      </c>
      <c r="B476" s="523" t="s">
        <v>1486</v>
      </c>
      <c r="C476" s="1165" t="s">
        <v>1480</v>
      </c>
      <c r="D476" s="505"/>
      <c r="E476" s="506">
        <f>SUM('[8]Pálfy'!C237)</f>
        <v>253</v>
      </c>
      <c r="F476" s="506"/>
      <c r="G476" s="502">
        <f>E476*8/12</f>
        <v>168.66666666666666</v>
      </c>
      <c r="H476" s="502">
        <f>F476*4/12</f>
        <v>0</v>
      </c>
      <c r="I476" s="512">
        <f>ROUND(SUM(G476:H476),0)</f>
        <v>169</v>
      </c>
      <c r="J476" s="509">
        <v>15000</v>
      </c>
      <c r="K476" s="502">
        <f>G476*J476</f>
        <v>2530000</v>
      </c>
      <c r="L476" s="502">
        <f>H476*J476</f>
        <v>0</v>
      </c>
      <c r="M476" s="388">
        <f t="shared" si="29"/>
        <v>2530000</v>
      </c>
    </row>
    <row r="477" spans="1:13" ht="12.75">
      <c r="A477" s="492">
        <v>22</v>
      </c>
      <c r="B477" s="523" t="s">
        <v>1486</v>
      </c>
      <c r="C477" s="1165" t="s">
        <v>1481</v>
      </c>
      <c r="D477" s="509"/>
      <c r="E477" s="506"/>
      <c r="F477" s="506">
        <v>238</v>
      </c>
      <c r="G477" s="506"/>
      <c r="H477" s="506">
        <v>79.33333333333333</v>
      </c>
      <c r="I477" s="539">
        <f>F477/12*4</f>
        <v>79.33333333333333</v>
      </c>
      <c r="J477" s="509">
        <v>18000</v>
      </c>
      <c r="K477" s="506"/>
      <c r="L477" s="506">
        <v>1428000</v>
      </c>
      <c r="M477" s="540">
        <f t="shared" si="29"/>
        <v>1428000</v>
      </c>
    </row>
    <row r="478" spans="1:13" ht="25.5">
      <c r="A478" s="492">
        <v>22</v>
      </c>
      <c r="B478" s="523" t="s">
        <v>1486</v>
      </c>
      <c r="C478" s="1165" t="s">
        <v>1508</v>
      </c>
      <c r="D478" s="505"/>
      <c r="E478" s="1273">
        <f>SUM('[8]Pálfy'!C259)</f>
        <v>64</v>
      </c>
      <c r="F478" s="1273">
        <f>SUM('[8]Pálfy'!D265)</f>
        <v>0</v>
      </c>
      <c r="G478" s="506"/>
      <c r="H478" s="506"/>
      <c r="I478" s="508">
        <f>SUM(E478:F478)</f>
        <v>64</v>
      </c>
      <c r="J478" s="509">
        <v>55000</v>
      </c>
      <c r="K478" s="502"/>
      <c r="L478" s="502"/>
      <c r="M478" s="388">
        <f>I478*J478</f>
        <v>3520000</v>
      </c>
    </row>
    <row r="479" spans="1:13" ht="12.75">
      <c r="A479" s="492">
        <v>22</v>
      </c>
      <c r="B479" s="523" t="s">
        <v>1486</v>
      </c>
      <c r="C479" s="1165" t="s">
        <v>1509</v>
      </c>
      <c r="D479" s="505"/>
      <c r="E479" s="1285"/>
      <c r="F479" s="1273">
        <f>SUM('[8]Pálfy'!D269)</f>
        <v>152</v>
      </c>
      <c r="G479" s="506"/>
      <c r="H479" s="506"/>
      <c r="I479" s="508">
        <f>F479</f>
        <v>152</v>
      </c>
      <c r="J479" s="509">
        <v>10000</v>
      </c>
      <c r="K479" s="503"/>
      <c r="L479" s="502"/>
      <c r="M479" s="388">
        <f>I479*J479</f>
        <v>1520000</v>
      </c>
    </row>
    <row r="480" spans="1:13" ht="12.75">
      <c r="A480" s="492">
        <v>22</v>
      </c>
      <c r="B480" s="526" t="s">
        <v>1486</v>
      </c>
      <c r="C480" s="1166" t="s">
        <v>878</v>
      </c>
      <c r="D480" s="514"/>
      <c r="E480" s="1286"/>
      <c r="F480" s="1272">
        <f>SUM('[8]Pálfy'!D270)</f>
        <v>542</v>
      </c>
      <c r="G480" s="515"/>
      <c r="H480" s="515"/>
      <c r="I480" s="516">
        <f>F480</f>
        <v>542</v>
      </c>
      <c r="J480" s="517">
        <v>1000</v>
      </c>
      <c r="K480" s="528"/>
      <c r="L480" s="518"/>
      <c r="M480" s="519">
        <f>I480*J480</f>
        <v>542000</v>
      </c>
    </row>
    <row r="481" spans="2:13" ht="14.25">
      <c r="B481" s="1425" t="s">
        <v>450</v>
      </c>
      <c r="C481" s="1426"/>
      <c r="D481" s="1426"/>
      <c r="E481" s="1426"/>
      <c r="F481" s="1426"/>
      <c r="G481" s="1426"/>
      <c r="H481" s="1426"/>
      <c r="I481" s="1427"/>
      <c r="J481" s="466"/>
      <c r="K481" s="529"/>
      <c r="L481" s="530"/>
      <c r="M481" s="521">
        <f>SUM(M462:M480)</f>
        <v>149797644.41391942</v>
      </c>
    </row>
    <row r="482" spans="1:13" ht="25.5">
      <c r="A482" s="493">
        <v>23</v>
      </c>
      <c r="B482" s="554" t="s">
        <v>596</v>
      </c>
      <c r="C482" s="1163" t="s">
        <v>1477</v>
      </c>
      <c r="D482" s="498"/>
      <c r="E482" s="497">
        <f>SUM('[8]Építészeti'!C41)</f>
        <v>221</v>
      </c>
      <c r="F482" s="541"/>
      <c r="G482" s="497"/>
      <c r="H482" s="497"/>
      <c r="I482" s="497"/>
      <c r="J482" s="498">
        <v>2550000</v>
      </c>
      <c r="K482" s="497">
        <f>SUM('[8]Építészeti segéd'!M17)</f>
        <v>31263607.142857146</v>
      </c>
      <c r="L482" s="496"/>
      <c r="M482" s="499">
        <f aca="true" t="shared" si="31" ref="M482:M500">SUM(K482:L482)</f>
        <v>31263607.142857146</v>
      </c>
    </row>
    <row r="483" spans="1:13" ht="25.5">
      <c r="A483" s="493">
        <v>23</v>
      </c>
      <c r="B483" s="1053" t="s">
        <v>596</v>
      </c>
      <c r="C483" s="1164" t="s">
        <v>1478</v>
      </c>
      <c r="D483" s="504"/>
      <c r="E483" s="502">
        <f>SUM('[8]Építészeti'!C42)</f>
        <v>225.2</v>
      </c>
      <c r="F483" s="538"/>
      <c r="G483" s="502"/>
      <c r="H483" s="502"/>
      <c r="I483" s="502"/>
      <c r="J483" s="504">
        <v>2550000</v>
      </c>
      <c r="K483" s="502">
        <f>SUM('[8]Építészeti segéd'!M18)</f>
        <v>34308353.84615385</v>
      </c>
      <c r="L483" s="503"/>
      <c r="M483" s="388">
        <f t="shared" si="31"/>
        <v>34308353.84615385</v>
      </c>
    </row>
    <row r="484" spans="1:13" ht="25.5">
      <c r="A484" s="493">
        <v>23</v>
      </c>
      <c r="B484" s="1053" t="s">
        <v>596</v>
      </c>
      <c r="C484" s="1164" t="s">
        <v>969</v>
      </c>
      <c r="D484" s="504"/>
      <c r="E484" s="502">
        <f>SUM('[8]Építészeti'!C43)</f>
        <v>319.8</v>
      </c>
      <c r="F484" s="538"/>
      <c r="G484" s="502"/>
      <c r="H484" s="502"/>
      <c r="I484" s="502"/>
      <c r="J484" s="504">
        <v>2550000</v>
      </c>
      <c r="K484" s="502">
        <f>SUM('[8]Építészeti segéd'!M19)</f>
        <v>57630000</v>
      </c>
      <c r="L484" s="503"/>
      <c r="M484" s="388">
        <f t="shared" si="31"/>
        <v>57630000</v>
      </c>
    </row>
    <row r="485" spans="1:13" ht="25.5">
      <c r="A485" s="493">
        <v>23</v>
      </c>
      <c r="B485" s="1053" t="s">
        <v>596</v>
      </c>
      <c r="C485" s="1164" t="s">
        <v>757</v>
      </c>
      <c r="D485" s="504"/>
      <c r="E485" s="503"/>
      <c r="F485" s="502">
        <f>SUM('[8]Építészeti'!D45)</f>
        <v>411</v>
      </c>
      <c r="G485" s="502"/>
      <c r="H485" s="502"/>
      <c r="I485" s="502"/>
      <c r="J485" s="504">
        <v>2550000</v>
      </c>
      <c r="K485" s="503"/>
      <c r="L485" s="502">
        <f>SUM('[8]Építészeti segéd'!M37)</f>
        <v>29070000</v>
      </c>
      <c r="M485" s="388">
        <f t="shared" si="31"/>
        <v>29070000</v>
      </c>
    </row>
    <row r="486" spans="1:13" ht="25.5">
      <c r="A486" s="493">
        <v>23</v>
      </c>
      <c r="B486" s="1053" t="s">
        <v>596</v>
      </c>
      <c r="C486" s="1164" t="s">
        <v>758</v>
      </c>
      <c r="D486" s="504"/>
      <c r="E486" s="503"/>
      <c r="F486" s="502">
        <f>SUM('[8]Építészeti'!D46)</f>
        <v>335</v>
      </c>
      <c r="G486" s="502"/>
      <c r="H486" s="502"/>
      <c r="I486" s="502"/>
      <c r="J486" s="504">
        <v>2550000</v>
      </c>
      <c r="K486" s="503"/>
      <c r="L486" s="502">
        <f>SUM('[8]Építészeti segéd'!M38)</f>
        <v>30227307.692307692</v>
      </c>
      <c r="M486" s="388">
        <f t="shared" si="31"/>
        <v>30227307.692307692</v>
      </c>
    </row>
    <row r="487" spans="1:13" ht="25.5">
      <c r="A487" s="493">
        <v>23</v>
      </c>
      <c r="B487" s="1053" t="s">
        <v>596</v>
      </c>
      <c r="C487" s="1165" t="s">
        <v>960</v>
      </c>
      <c r="D487" s="504"/>
      <c r="E487" s="502">
        <f>SUM('[8]Építészeti'!C49)</f>
        <v>165</v>
      </c>
      <c r="F487" s="538"/>
      <c r="G487" s="502"/>
      <c r="H487" s="502"/>
      <c r="I487" s="502"/>
      <c r="J487" s="504">
        <v>2550000</v>
      </c>
      <c r="K487" s="502">
        <f>SUM('[8]Építészeti segéd'!M20)</f>
        <v>20400000</v>
      </c>
      <c r="L487" s="503"/>
      <c r="M487" s="388">
        <f t="shared" si="31"/>
        <v>20400000</v>
      </c>
    </row>
    <row r="488" spans="1:13" ht="25.5">
      <c r="A488" s="493">
        <v>23</v>
      </c>
      <c r="B488" s="1053" t="s">
        <v>596</v>
      </c>
      <c r="C488" s="1165" t="s">
        <v>961</v>
      </c>
      <c r="D488" s="504"/>
      <c r="E488" s="502">
        <f>SUM('[8]Építészeti'!C50)</f>
        <v>170.2</v>
      </c>
      <c r="F488" s="503"/>
      <c r="G488" s="502"/>
      <c r="H488" s="502"/>
      <c r="I488" s="502"/>
      <c r="J488" s="504">
        <v>2550000</v>
      </c>
      <c r="K488" s="502">
        <f>SUM('[8]Építészeti segéd'!M21)</f>
        <v>22610000</v>
      </c>
      <c r="L488" s="503"/>
      <c r="M488" s="388">
        <f t="shared" si="31"/>
        <v>22610000</v>
      </c>
    </row>
    <row r="489" spans="1:13" ht="25.5">
      <c r="A489" s="493">
        <v>23</v>
      </c>
      <c r="B489" s="1053" t="s">
        <v>596</v>
      </c>
      <c r="C489" s="1165" t="s">
        <v>1479</v>
      </c>
      <c r="D489" s="504"/>
      <c r="E489" s="503"/>
      <c r="F489" s="502">
        <f>SUM('[8]Építészeti'!D52)</f>
        <v>280</v>
      </c>
      <c r="G489" s="502"/>
      <c r="H489" s="502"/>
      <c r="I489" s="502"/>
      <c r="J489" s="504">
        <v>2550000</v>
      </c>
      <c r="K489" s="503"/>
      <c r="L489" s="502">
        <f>SUM('[8]Építészeti segéd'!M39)</f>
        <v>17254999.999999996</v>
      </c>
      <c r="M489" s="388">
        <f t="shared" si="31"/>
        <v>17254999.999999996</v>
      </c>
    </row>
    <row r="490" spans="1:13" ht="25.5">
      <c r="A490" s="493">
        <v>23</v>
      </c>
      <c r="B490" s="1053" t="s">
        <v>596</v>
      </c>
      <c r="C490" s="1165" t="s">
        <v>963</v>
      </c>
      <c r="D490" s="504"/>
      <c r="E490" s="503"/>
      <c r="F490" s="502">
        <f>SUM('[8]Építészeti'!D53)</f>
        <v>89</v>
      </c>
      <c r="G490" s="502"/>
      <c r="H490" s="502"/>
      <c r="I490" s="502"/>
      <c r="J490" s="504">
        <v>2550000</v>
      </c>
      <c r="K490" s="503"/>
      <c r="L490" s="502">
        <f>SUM('[8]Építészeti segéd'!M40)</f>
        <v>5906519.230769231</v>
      </c>
      <c r="M490" s="388">
        <f t="shared" si="31"/>
        <v>5906519.230769231</v>
      </c>
    </row>
    <row r="491" spans="1:13" ht="25.5">
      <c r="A491" s="492">
        <v>23</v>
      </c>
      <c r="B491" s="1053" t="s">
        <v>596</v>
      </c>
      <c r="C491" s="1165" t="s">
        <v>317</v>
      </c>
      <c r="D491" s="501"/>
      <c r="E491" s="502">
        <f>SUM('[8]Építészeti'!C110)</f>
        <v>440</v>
      </c>
      <c r="F491" s="502">
        <f>SUM('[8]Építészeti'!D111)</f>
        <v>399</v>
      </c>
      <c r="G491" s="502">
        <f aca="true" t="shared" si="32" ref="G491:G496">E491*8/12</f>
        <v>293.3333333333333</v>
      </c>
      <c r="H491" s="502">
        <f>F491*4/12</f>
        <v>133</v>
      </c>
      <c r="I491" s="512">
        <f aca="true" t="shared" si="33" ref="I491:I498">SUM(G491:H491)</f>
        <v>426.3333333333333</v>
      </c>
      <c r="J491" s="504">
        <v>40000</v>
      </c>
      <c r="K491" s="502">
        <f aca="true" t="shared" si="34" ref="K491:K496">G491*J491</f>
        <v>11733333.333333332</v>
      </c>
      <c r="L491" s="502">
        <f>H491*J491</f>
        <v>5320000</v>
      </c>
      <c r="M491" s="388">
        <f t="shared" si="31"/>
        <v>17053333.333333332</v>
      </c>
    </row>
    <row r="492" spans="1:13" ht="25.5">
      <c r="A492" s="492">
        <v>23</v>
      </c>
      <c r="B492" s="1053" t="s">
        <v>596</v>
      </c>
      <c r="C492" s="1165" t="s">
        <v>321</v>
      </c>
      <c r="D492" s="509"/>
      <c r="E492" s="502">
        <f>SUM('[8]Építészeti'!C114)</f>
        <v>7</v>
      </c>
      <c r="F492" s="502">
        <f>SUM('[8]Építészeti'!D115)</f>
        <v>13</v>
      </c>
      <c r="G492" s="502">
        <f t="shared" si="32"/>
        <v>4.666666666666667</v>
      </c>
      <c r="H492" s="502">
        <f>F492*4/12</f>
        <v>4.333333333333333</v>
      </c>
      <c r="I492" s="512">
        <f t="shared" si="33"/>
        <v>9</v>
      </c>
      <c r="J492" s="509">
        <v>112000</v>
      </c>
      <c r="K492" s="502">
        <f t="shared" si="34"/>
        <v>522666.6666666667</v>
      </c>
      <c r="L492" s="502">
        <f>H492*J492</f>
        <v>485333.3333333333</v>
      </c>
      <c r="M492" s="388">
        <f t="shared" si="31"/>
        <v>1008000</v>
      </c>
    </row>
    <row r="493" spans="1:13" ht="25.5">
      <c r="A493" s="492">
        <v>23</v>
      </c>
      <c r="B493" s="1053" t="s">
        <v>596</v>
      </c>
      <c r="C493" s="1165" t="s">
        <v>323</v>
      </c>
      <c r="D493" s="509"/>
      <c r="E493" s="502">
        <f>SUM('[8]Építészeti'!C117)</f>
        <v>14</v>
      </c>
      <c r="F493" s="502">
        <f>SUM('[8]Építészeti'!D118)</f>
        <v>17</v>
      </c>
      <c r="G493" s="502">
        <f t="shared" si="32"/>
        <v>9.333333333333334</v>
      </c>
      <c r="H493" s="502">
        <f>F493*4/12</f>
        <v>5.666666666666667</v>
      </c>
      <c r="I493" s="512">
        <f t="shared" si="33"/>
        <v>15</v>
      </c>
      <c r="J493" s="509">
        <v>156800</v>
      </c>
      <c r="K493" s="502">
        <f t="shared" si="34"/>
        <v>1463466.6666666667</v>
      </c>
      <c r="L493" s="502">
        <f>H493*J493</f>
        <v>888533.3333333334</v>
      </c>
      <c r="M493" s="388">
        <f t="shared" si="31"/>
        <v>2352000</v>
      </c>
    </row>
    <row r="494" spans="1:13" ht="25.5">
      <c r="A494" s="492">
        <v>23</v>
      </c>
      <c r="B494" s="1053" t="s">
        <v>596</v>
      </c>
      <c r="C494" s="1165" t="s">
        <v>325</v>
      </c>
      <c r="D494" s="509"/>
      <c r="E494" s="502">
        <f>SUM('[8]Építészeti'!C120)</f>
        <v>2.2</v>
      </c>
      <c r="F494" s="502">
        <f>SUM('[8]Építészeti'!D121)</f>
        <v>6</v>
      </c>
      <c r="G494" s="507">
        <f t="shared" si="32"/>
        <v>1.4666666666666668</v>
      </c>
      <c r="H494" s="507">
        <f>F494*4/12</f>
        <v>2</v>
      </c>
      <c r="I494" s="512">
        <f t="shared" si="33"/>
        <v>3.466666666666667</v>
      </c>
      <c r="J494" s="509">
        <v>67200</v>
      </c>
      <c r="K494" s="502">
        <f t="shared" si="34"/>
        <v>98560.00000000001</v>
      </c>
      <c r="L494" s="502">
        <f>H494*J494</f>
        <v>134400</v>
      </c>
      <c r="M494" s="388">
        <f t="shared" si="31"/>
        <v>232960</v>
      </c>
    </row>
    <row r="495" spans="1:13" ht="33.75" customHeight="1">
      <c r="A495" s="492">
        <v>23</v>
      </c>
      <c r="B495" s="1053" t="s">
        <v>596</v>
      </c>
      <c r="C495" s="1165" t="s">
        <v>327</v>
      </c>
      <c r="D495" s="509"/>
      <c r="E495" s="502">
        <f>SUM('[8]Építészeti'!C123)</f>
        <v>312</v>
      </c>
      <c r="F495" s="502">
        <f>SUM('[8]Építészeti'!D124)</f>
        <v>333</v>
      </c>
      <c r="G495" s="507">
        <f t="shared" si="32"/>
        <v>208</v>
      </c>
      <c r="H495" s="507">
        <f>F495*4/12</f>
        <v>111</v>
      </c>
      <c r="I495" s="512">
        <f t="shared" si="33"/>
        <v>319</v>
      </c>
      <c r="J495" s="509">
        <v>22400</v>
      </c>
      <c r="K495" s="502">
        <f t="shared" si="34"/>
        <v>4659200</v>
      </c>
      <c r="L495" s="502">
        <f>H495*J495</f>
        <v>2486400</v>
      </c>
      <c r="M495" s="388">
        <f t="shared" si="31"/>
        <v>7145600</v>
      </c>
    </row>
    <row r="496" spans="1:13" ht="51.75" customHeight="1">
      <c r="A496" s="492">
        <v>23</v>
      </c>
      <c r="B496" s="1053" t="s">
        <v>596</v>
      </c>
      <c r="C496" s="1165" t="s">
        <v>716</v>
      </c>
      <c r="D496" s="509"/>
      <c r="E496" s="506">
        <f>SUM('[8]Építészeti'!C160)</f>
        <v>61</v>
      </c>
      <c r="F496" s="503"/>
      <c r="G496" s="507">
        <f t="shared" si="32"/>
        <v>40.666666666666664</v>
      </c>
      <c r="H496" s="511"/>
      <c r="I496" s="508">
        <f t="shared" si="33"/>
        <v>40.666666666666664</v>
      </c>
      <c r="J496" s="509">
        <v>192000</v>
      </c>
      <c r="K496" s="502">
        <f t="shared" si="34"/>
        <v>7808000</v>
      </c>
      <c r="L496" s="503"/>
      <c r="M496" s="388">
        <f t="shared" si="31"/>
        <v>7808000</v>
      </c>
    </row>
    <row r="497" spans="1:13" ht="44.25" customHeight="1">
      <c r="A497" s="492">
        <v>23</v>
      </c>
      <c r="B497" s="1053" t="s">
        <v>596</v>
      </c>
      <c r="C497" s="1165" t="s">
        <v>1336</v>
      </c>
      <c r="D497" s="505"/>
      <c r="E497" s="510"/>
      <c r="F497" s="506">
        <f>SUM('[8]Építészeti'!D166)</f>
        <v>6</v>
      </c>
      <c r="G497" s="506"/>
      <c r="H497" s="507">
        <f>F497*4/12</f>
        <v>2</v>
      </c>
      <c r="I497" s="508">
        <f t="shared" si="33"/>
        <v>2</v>
      </c>
      <c r="J497" s="509">
        <v>192000</v>
      </c>
      <c r="K497" s="510"/>
      <c r="L497" s="502">
        <f>H497*J497</f>
        <v>384000</v>
      </c>
      <c r="M497" s="388">
        <f t="shared" si="31"/>
        <v>384000</v>
      </c>
    </row>
    <row r="498" spans="1:13" ht="38.25">
      <c r="A498" s="492">
        <v>23</v>
      </c>
      <c r="B498" s="1053" t="s">
        <v>596</v>
      </c>
      <c r="C498" s="1165" t="s">
        <v>1337</v>
      </c>
      <c r="D498" s="505"/>
      <c r="E498" s="510"/>
      <c r="F498" s="506">
        <f>SUM('[8]Építészeti'!D172)</f>
        <v>55</v>
      </c>
      <c r="G498" s="506"/>
      <c r="H498" s="507">
        <f>F498*4/12</f>
        <v>18.333333333333332</v>
      </c>
      <c r="I498" s="508">
        <f t="shared" si="33"/>
        <v>18.333333333333332</v>
      </c>
      <c r="J498" s="509">
        <v>144000</v>
      </c>
      <c r="K498" s="510"/>
      <c r="L498" s="506">
        <f>I498*J498</f>
        <v>2640000</v>
      </c>
      <c r="M498" s="388">
        <f t="shared" si="31"/>
        <v>2640000</v>
      </c>
    </row>
    <row r="499" spans="1:13" ht="25.5">
      <c r="A499" s="492">
        <v>23</v>
      </c>
      <c r="B499" s="1053" t="s">
        <v>596</v>
      </c>
      <c r="C499" s="1165" t="s">
        <v>1480</v>
      </c>
      <c r="D499" s="505"/>
      <c r="E499" s="506">
        <f>SUM('[8]Építészeti'!C237)</f>
        <v>671</v>
      </c>
      <c r="F499" s="506"/>
      <c r="G499" s="502">
        <f>E499*8/12</f>
        <v>447.3333333333333</v>
      </c>
      <c r="H499" s="502">
        <f>F499*4/12</f>
        <v>0</v>
      </c>
      <c r="I499" s="512">
        <f>ROUND(SUM(G499:H499),0)</f>
        <v>447</v>
      </c>
      <c r="J499" s="509">
        <v>15000</v>
      </c>
      <c r="K499" s="502">
        <f>G499*J499</f>
        <v>6710000</v>
      </c>
      <c r="L499" s="502">
        <f>H499*J499</f>
        <v>0</v>
      </c>
      <c r="M499" s="388">
        <f t="shared" si="31"/>
        <v>6710000</v>
      </c>
    </row>
    <row r="500" spans="1:13" ht="25.5">
      <c r="A500" s="492">
        <v>23</v>
      </c>
      <c r="B500" s="1053" t="s">
        <v>596</v>
      </c>
      <c r="C500" s="1165" t="s">
        <v>1481</v>
      </c>
      <c r="D500" s="509"/>
      <c r="E500" s="506"/>
      <c r="F500" s="506">
        <v>671</v>
      </c>
      <c r="G500" s="506"/>
      <c r="H500" s="506">
        <v>223.66666666666666</v>
      </c>
      <c r="I500" s="539">
        <f>F500/12*4</f>
        <v>223.66666666666666</v>
      </c>
      <c r="J500" s="509">
        <v>18000</v>
      </c>
      <c r="K500" s="506"/>
      <c r="L500" s="506">
        <v>4026000</v>
      </c>
      <c r="M500" s="540">
        <f t="shared" si="31"/>
        <v>4026000</v>
      </c>
    </row>
    <row r="501" spans="1:13" ht="25.5">
      <c r="A501" s="492">
        <v>23</v>
      </c>
      <c r="B501" s="1053" t="s">
        <v>596</v>
      </c>
      <c r="C501" s="1165" t="s">
        <v>1508</v>
      </c>
      <c r="D501" s="505"/>
      <c r="E501" s="1273">
        <f>SUM('[8]Építészeti'!C259)</f>
        <v>21</v>
      </c>
      <c r="F501" s="1273">
        <f>SUM('[8]Építészeti'!D265)</f>
        <v>0</v>
      </c>
      <c r="G501" s="506"/>
      <c r="H501" s="506"/>
      <c r="I501" s="508">
        <f>SUM(E501:F501)</f>
        <v>21</v>
      </c>
      <c r="J501" s="509">
        <v>55000</v>
      </c>
      <c r="K501" s="502"/>
      <c r="L501" s="502"/>
      <c r="M501" s="388">
        <f>I501*J501</f>
        <v>1155000</v>
      </c>
    </row>
    <row r="502" spans="1:13" ht="25.5">
      <c r="A502" s="492">
        <v>23</v>
      </c>
      <c r="B502" s="1053" t="s">
        <v>596</v>
      </c>
      <c r="C502" s="1165" t="s">
        <v>1509</v>
      </c>
      <c r="D502" s="505"/>
      <c r="E502" s="1285"/>
      <c r="F502" s="1273">
        <f>SUM('[8]Építészeti'!D269)</f>
        <v>313</v>
      </c>
      <c r="G502" s="506"/>
      <c r="H502" s="506"/>
      <c r="I502" s="508">
        <f>F502</f>
        <v>313</v>
      </c>
      <c r="J502" s="509">
        <v>10000</v>
      </c>
      <c r="K502" s="503"/>
      <c r="L502" s="502"/>
      <c r="M502" s="388">
        <f>I502*J502</f>
        <v>3130000</v>
      </c>
    </row>
    <row r="503" spans="1:13" ht="25.5">
      <c r="A503" s="492">
        <v>23</v>
      </c>
      <c r="B503" s="556" t="s">
        <v>596</v>
      </c>
      <c r="C503" s="1166" t="s">
        <v>878</v>
      </c>
      <c r="D503" s="514"/>
      <c r="E503" s="1286"/>
      <c r="F503" s="1272">
        <f>SUM('[8]Építészeti'!D270)</f>
        <v>1088</v>
      </c>
      <c r="G503" s="515"/>
      <c r="H503" s="515"/>
      <c r="I503" s="516">
        <f>F503</f>
        <v>1088</v>
      </c>
      <c r="J503" s="517">
        <v>1000</v>
      </c>
      <c r="K503" s="528"/>
      <c r="L503" s="518"/>
      <c r="M503" s="519">
        <f>I503*J503</f>
        <v>1088000</v>
      </c>
    </row>
    <row r="504" spans="2:13" ht="14.25">
      <c r="B504" s="1425" t="s">
        <v>597</v>
      </c>
      <c r="C504" s="1426"/>
      <c r="D504" s="1426"/>
      <c r="E504" s="1426"/>
      <c r="F504" s="1426"/>
      <c r="G504" s="1426"/>
      <c r="H504" s="1426"/>
      <c r="I504" s="1427"/>
      <c r="J504" s="464"/>
      <c r="K504" s="544"/>
      <c r="L504" s="545"/>
      <c r="M504" s="521">
        <f>SUM(M482:M503)</f>
        <v>303403681.24542123</v>
      </c>
    </row>
    <row r="505" spans="1:13" ht="12.75">
      <c r="A505" s="493">
        <v>24</v>
      </c>
      <c r="B505" s="554" t="s">
        <v>1341</v>
      </c>
      <c r="C505" s="1163" t="s">
        <v>1477</v>
      </c>
      <c r="D505" s="498"/>
      <c r="E505" s="497">
        <f>SUM('[8]Keró'!C41)</f>
        <v>175</v>
      </c>
      <c r="F505" s="541"/>
      <c r="G505" s="497"/>
      <c r="H505" s="497"/>
      <c r="I505" s="497"/>
      <c r="J505" s="498">
        <v>2550000</v>
      </c>
      <c r="K505" s="497">
        <f>SUM('[8]Keró segéd'!M17)</f>
        <v>24756250</v>
      </c>
      <c r="L505" s="496"/>
      <c r="M505" s="499">
        <f aca="true" t="shared" si="35" ref="M505:M519">SUM(K505:L505)</f>
        <v>24756250</v>
      </c>
    </row>
    <row r="506" spans="1:13" ht="12.75">
      <c r="A506" s="493">
        <v>24</v>
      </c>
      <c r="B506" s="1053" t="s">
        <v>1341</v>
      </c>
      <c r="C506" s="1164" t="s">
        <v>1478</v>
      </c>
      <c r="D506" s="504"/>
      <c r="E506" s="502">
        <f>SUM('[8]Keró'!C42)</f>
        <v>207.2</v>
      </c>
      <c r="F506" s="538"/>
      <c r="G506" s="502"/>
      <c r="H506" s="502"/>
      <c r="I506" s="502"/>
      <c r="J506" s="504">
        <v>2550000</v>
      </c>
      <c r="K506" s="502">
        <f>SUM('[8]Keró segéd'!M18)</f>
        <v>31566123.076923072</v>
      </c>
      <c r="L506" s="503"/>
      <c r="M506" s="388">
        <f t="shared" si="35"/>
        <v>31566123.076923072</v>
      </c>
    </row>
    <row r="507" spans="1:13" ht="12.75">
      <c r="A507" s="493">
        <v>24</v>
      </c>
      <c r="B507" s="1053" t="s">
        <v>1341</v>
      </c>
      <c r="C507" s="1164" t="s">
        <v>969</v>
      </c>
      <c r="D507" s="504"/>
      <c r="E507" s="502">
        <f>SUM('[8]Keró'!C43)</f>
        <v>213.8</v>
      </c>
      <c r="F507" s="538"/>
      <c r="G507" s="502"/>
      <c r="H507" s="502"/>
      <c r="I507" s="502"/>
      <c r="J507" s="504">
        <v>2550000</v>
      </c>
      <c r="K507" s="502">
        <f>SUM('[8]Keró segéd'!M19)</f>
        <v>38590000</v>
      </c>
      <c r="L507" s="503"/>
      <c r="M507" s="388">
        <f t="shared" si="35"/>
        <v>38590000</v>
      </c>
    </row>
    <row r="508" spans="1:13" ht="12.75">
      <c r="A508" s="493">
        <v>24</v>
      </c>
      <c r="B508" s="1053" t="s">
        <v>1341</v>
      </c>
      <c r="C508" s="1164" t="s">
        <v>757</v>
      </c>
      <c r="D508" s="504"/>
      <c r="E508" s="503"/>
      <c r="F508" s="502">
        <f>SUM('[8]Keró'!D45)</f>
        <v>329</v>
      </c>
      <c r="G508" s="502"/>
      <c r="H508" s="502"/>
      <c r="I508" s="502"/>
      <c r="J508" s="504">
        <v>2550000</v>
      </c>
      <c r="K508" s="503"/>
      <c r="L508" s="502">
        <f>SUM('[8]Keró segéd'!M37)</f>
        <v>23290000</v>
      </c>
      <c r="M508" s="388">
        <f t="shared" si="35"/>
        <v>23290000</v>
      </c>
    </row>
    <row r="509" spans="1:13" ht="12.75">
      <c r="A509" s="493">
        <v>24</v>
      </c>
      <c r="B509" s="1053" t="s">
        <v>1341</v>
      </c>
      <c r="C509" s="1164" t="s">
        <v>758</v>
      </c>
      <c r="D509" s="504"/>
      <c r="E509" s="503"/>
      <c r="F509" s="502">
        <f>SUM('[8]Keró'!D46)</f>
        <v>220.2</v>
      </c>
      <c r="G509" s="502"/>
      <c r="H509" s="502"/>
      <c r="I509" s="502"/>
      <c r="J509" s="504">
        <v>2550000</v>
      </c>
      <c r="K509" s="503"/>
      <c r="L509" s="502">
        <f>SUM('[8]Keró segéd'!M38)</f>
        <v>19868815.384615384</v>
      </c>
      <c r="M509" s="388">
        <f t="shared" si="35"/>
        <v>19868815.384615384</v>
      </c>
    </row>
    <row r="510" spans="1:13" ht="25.5">
      <c r="A510" s="493">
        <v>24</v>
      </c>
      <c r="B510" s="1053" t="s">
        <v>1341</v>
      </c>
      <c r="C510" s="1165" t="s">
        <v>960</v>
      </c>
      <c r="D510" s="504"/>
      <c r="E510" s="502">
        <f>SUM('[8]Keró'!C49)</f>
        <v>130</v>
      </c>
      <c r="F510" s="538"/>
      <c r="G510" s="502"/>
      <c r="H510" s="502"/>
      <c r="I510" s="502"/>
      <c r="J510" s="504">
        <v>2550000</v>
      </c>
      <c r="K510" s="502">
        <f>SUM('[8]Keró segéd'!M20)</f>
        <v>15980000</v>
      </c>
      <c r="L510" s="503"/>
      <c r="M510" s="388">
        <f t="shared" si="35"/>
        <v>15980000</v>
      </c>
    </row>
    <row r="511" spans="1:13" ht="25.5">
      <c r="A511" s="493">
        <v>24</v>
      </c>
      <c r="B511" s="1053" t="s">
        <v>1341</v>
      </c>
      <c r="C511" s="1165" t="s">
        <v>961</v>
      </c>
      <c r="D511" s="504"/>
      <c r="E511" s="502">
        <f>SUM('[8]Keró'!C50)</f>
        <v>141</v>
      </c>
      <c r="F511" s="503"/>
      <c r="G511" s="502"/>
      <c r="H511" s="502"/>
      <c r="I511" s="502"/>
      <c r="J511" s="504">
        <v>2550000</v>
      </c>
      <c r="K511" s="502">
        <f>SUM('[8]Keró segéd'!M21)</f>
        <v>18700000</v>
      </c>
      <c r="L511" s="503"/>
      <c r="M511" s="388">
        <f t="shared" si="35"/>
        <v>18700000</v>
      </c>
    </row>
    <row r="512" spans="1:13" ht="25.5">
      <c r="A512" s="493">
        <v>24</v>
      </c>
      <c r="B512" s="1053" t="s">
        <v>1341</v>
      </c>
      <c r="C512" s="1165" t="s">
        <v>1479</v>
      </c>
      <c r="D512" s="504"/>
      <c r="E512" s="503"/>
      <c r="F512" s="502">
        <f>SUM('[8]Keró'!D52)</f>
        <v>250</v>
      </c>
      <c r="G512" s="502"/>
      <c r="H512" s="502"/>
      <c r="I512" s="502"/>
      <c r="J512" s="504">
        <v>2550000</v>
      </c>
      <c r="K512" s="503"/>
      <c r="L512" s="502">
        <f>SUM('[8]Keró segéd'!M39)</f>
        <v>15406250</v>
      </c>
      <c r="M512" s="388">
        <f t="shared" si="35"/>
        <v>15406250</v>
      </c>
    </row>
    <row r="513" spans="1:13" ht="25.5">
      <c r="A513" s="493">
        <v>24</v>
      </c>
      <c r="B513" s="1053" t="s">
        <v>1341</v>
      </c>
      <c r="C513" s="1165" t="s">
        <v>963</v>
      </c>
      <c r="D513" s="504"/>
      <c r="E513" s="503"/>
      <c r="F513" s="502">
        <f>SUM('[8]Keró'!D53)</f>
        <v>44</v>
      </c>
      <c r="G513" s="502"/>
      <c r="H513" s="502"/>
      <c r="I513" s="502"/>
      <c r="J513" s="504">
        <v>2550000</v>
      </c>
      <c r="K513" s="503"/>
      <c r="L513" s="502">
        <f>SUM('[8]Keró segéd'!M40)</f>
        <v>2920076.9230769225</v>
      </c>
      <c r="M513" s="388">
        <f t="shared" si="35"/>
        <v>2920076.9230769225</v>
      </c>
    </row>
    <row r="514" spans="1:13" ht="25.5">
      <c r="A514" s="492">
        <v>24</v>
      </c>
      <c r="B514" s="1053" t="s">
        <v>1341</v>
      </c>
      <c r="C514" s="1165" t="s">
        <v>321</v>
      </c>
      <c r="D514" s="509"/>
      <c r="E514" s="502">
        <f>SUM('[8]Keró'!C114)</f>
        <v>7.8</v>
      </c>
      <c r="F514" s="502">
        <f>SUM('[8]Keró'!D115)-0.673333</f>
        <v>12.746667</v>
      </c>
      <c r="G514" s="502">
        <f>E514*8/12-0.448889</f>
        <v>4.751111</v>
      </c>
      <c r="H514" s="502">
        <f>F514*4/12</f>
        <v>4.248889</v>
      </c>
      <c r="I514" s="512">
        <f>SUM(G514:H514)</f>
        <v>9</v>
      </c>
      <c r="J514" s="509">
        <v>112000</v>
      </c>
      <c r="K514" s="502">
        <f>G514*J514</f>
        <v>532124.432</v>
      </c>
      <c r="L514" s="502">
        <f>H514*J514</f>
        <v>475875.568</v>
      </c>
      <c r="M514" s="388">
        <f t="shared" si="35"/>
        <v>1008000</v>
      </c>
    </row>
    <row r="515" spans="1:13" ht="25.5">
      <c r="A515" s="492">
        <v>24</v>
      </c>
      <c r="B515" s="1053" t="s">
        <v>1341</v>
      </c>
      <c r="C515" s="1165" t="s">
        <v>323</v>
      </c>
      <c r="D515" s="509"/>
      <c r="E515" s="502">
        <f>SUM('[8]Keró'!C117)</f>
        <v>55.03</v>
      </c>
      <c r="F515" s="502">
        <f>SUM('[8]Keró'!D118)</f>
        <v>56.5</v>
      </c>
      <c r="G515" s="502">
        <f>E515*8/12</f>
        <v>36.68666666666667</v>
      </c>
      <c r="H515" s="502">
        <f>F515*4/12</f>
        <v>18.833333333333332</v>
      </c>
      <c r="I515" s="512">
        <f>SUM(G515:H515)</f>
        <v>55.519999999999996</v>
      </c>
      <c r="J515" s="509">
        <v>156800</v>
      </c>
      <c r="K515" s="502">
        <f>G515*J515</f>
        <v>5752469.333333333</v>
      </c>
      <c r="L515" s="502">
        <f>H515*J515</f>
        <v>2953066.6666666665</v>
      </c>
      <c r="M515" s="388">
        <f t="shared" si="35"/>
        <v>8705536</v>
      </c>
    </row>
    <row r="516" spans="1:13" ht="25.5">
      <c r="A516" s="492">
        <v>24</v>
      </c>
      <c r="B516" s="1053" t="s">
        <v>1341</v>
      </c>
      <c r="C516" s="1165" t="s">
        <v>325</v>
      </c>
      <c r="D516" s="509"/>
      <c r="E516" s="502">
        <f>SUM('[8]Keró'!C120)</f>
        <v>57.99</v>
      </c>
      <c r="F516" s="502">
        <f>SUM('[8]Keró'!D121)</f>
        <v>49.29</v>
      </c>
      <c r="G516" s="507">
        <f>E516*8/12</f>
        <v>38.660000000000004</v>
      </c>
      <c r="H516" s="507">
        <f>F516*4/12</f>
        <v>16.43</v>
      </c>
      <c r="I516" s="512">
        <f>SUM(G516:H516)</f>
        <v>55.09</v>
      </c>
      <c r="J516" s="509">
        <v>67200</v>
      </c>
      <c r="K516" s="502">
        <f>G516*J516</f>
        <v>2597952.0000000005</v>
      </c>
      <c r="L516" s="502">
        <f>H516*J516</f>
        <v>1104096</v>
      </c>
      <c r="M516" s="388">
        <f t="shared" si="35"/>
        <v>3702048.0000000005</v>
      </c>
    </row>
    <row r="517" spans="1:13" ht="38.25">
      <c r="A517" s="492">
        <v>24</v>
      </c>
      <c r="B517" s="1053" t="s">
        <v>1341</v>
      </c>
      <c r="C517" s="1165" t="s">
        <v>327</v>
      </c>
      <c r="D517" s="509"/>
      <c r="E517" s="502">
        <f>SUM('[8]Keró'!C123)</f>
        <v>185</v>
      </c>
      <c r="F517" s="502">
        <f>SUM('[8]Keró'!D124)</f>
        <v>218</v>
      </c>
      <c r="G517" s="507">
        <f>E517*8/12</f>
        <v>123.33333333333333</v>
      </c>
      <c r="H517" s="507">
        <f>F517*4/12</f>
        <v>72.66666666666667</v>
      </c>
      <c r="I517" s="512">
        <f>SUM(G517:H517)</f>
        <v>196</v>
      </c>
      <c r="J517" s="509">
        <v>22400</v>
      </c>
      <c r="K517" s="502">
        <f>G517*J517</f>
        <v>2762666.6666666665</v>
      </c>
      <c r="L517" s="502">
        <f>H517*J517</f>
        <v>1627733.3333333335</v>
      </c>
      <c r="M517" s="388">
        <f t="shared" si="35"/>
        <v>4390400</v>
      </c>
    </row>
    <row r="518" spans="1:13" ht="12.75">
      <c r="A518" s="492">
        <v>24</v>
      </c>
      <c r="B518" s="1053" t="s">
        <v>1341</v>
      </c>
      <c r="C518" s="1165" t="s">
        <v>1480</v>
      </c>
      <c r="D518" s="505"/>
      <c r="E518" s="506">
        <f>SUM('[8]Keró'!C237)</f>
        <v>350</v>
      </c>
      <c r="F518" s="506"/>
      <c r="G518" s="502">
        <f>E518*8/12</f>
        <v>233.33333333333334</v>
      </c>
      <c r="H518" s="502">
        <f>F518*4/12</f>
        <v>0</v>
      </c>
      <c r="I518" s="512">
        <f>ROUND(SUM(G518:H518),0)</f>
        <v>233</v>
      </c>
      <c r="J518" s="509">
        <v>15000</v>
      </c>
      <c r="K518" s="502">
        <f>G518*J518</f>
        <v>3500000</v>
      </c>
      <c r="L518" s="502">
        <f>H518*J518</f>
        <v>0</v>
      </c>
      <c r="M518" s="388">
        <f t="shared" si="35"/>
        <v>3500000</v>
      </c>
    </row>
    <row r="519" spans="1:13" ht="12.75">
      <c r="A519" s="492">
        <v>24</v>
      </c>
      <c r="B519" s="1053" t="s">
        <v>1341</v>
      </c>
      <c r="C519" s="1165" t="s">
        <v>1481</v>
      </c>
      <c r="D519" s="509"/>
      <c r="E519" s="506"/>
      <c r="F519" s="506">
        <v>350</v>
      </c>
      <c r="G519" s="506"/>
      <c r="H519" s="506">
        <v>116.66666666666667</v>
      </c>
      <c r="I519" s="539">
        <f>F519/12*4</f>
        <v>116.66666666666667</v>
      </c>
      <c r="J519" s="509">
        <v>18000</v>
      </c>
      <c r="K519" s="506"/>
      <c r="L519" s="506">
        <v>2100000</v>
      </c>
      <c r="M519" s="540">
        <f t="shared" si="35"/>
        <v>2100000</v>
      </c>
    </row>
    <row r="520" spans="1:13" ht="25.5">
      <c r="A520" s="492">
        <v>24</v>
      </c>
      <c r="B520" s="1053" t="s">
        <v>1341</v>
      </c>
      <c r="C520" s="1165" t="s">
        <v>1508</v>
      </c>
      <c r="D520" s="505"/>
      <c r="E520" s="1273">
        <f>SUM('[8]Keró'!C259)</f>
        <v>9</v>
      </c>
      <c r="F520" s="1273">
        <f>SUM('[8]Keró'!D265)</f>
        <v>0</v>
      </c>
      <c r="G520" s="506"/>
      <c r="H520" s="506"/>
      <c r="I520" s="508">
        <f>SUM(E520:F520)</f>
        <v>9</v>
      </c>
      <c r="J520" s="509">
        <v>55000</v>
      </c>
      <c r="K520" s="502"/>
      <c r="L520" s="502"/>
      <c r="M520" s="388">
        <f>I520*J520</f>
        <v>495000</v>
      </c>
    </row>
    <row r="521" spans="1:13" ht="12.75">
      <c r="A521" s="492">
        <v>24</v>
      </c>
      <c r="B521" s="1053" t="s">
        <v>1341</v>
      </c>
      <c r="C521" s="1165" t="s">
        <v>1509</v>
      </c>
      <c r="D521" s="505"/>
      <c r="E521" s="1285"/>
      <c r="F521" s="1273">
        <f>SUM('[8]Keró'!D269)</f>
        <v>144</v>
      </c>
      <c r="G521" s="506"/>
      <c r="H521" s="506"/>
      <c r="I521" s="508">
        <f>F521</f>
        <v>144</v>
      </c>
      <c r="J521" s="509">
        <v>10000</v>
      </c>
      <c r="K521" s="503"/>
      <c r="L521" s="502"/>
      <c r="M521" s="388">
        <f>I521*J521</f>
        <v>1440000</v>
      </c>
    </row>
    <row r="522" spans="1:13" ht="12.75">
      <c r="A522" s="492">
        <v>24</v>
      </c>
      <c r="B522" s="556" t="s">
        <v>1341</v>
      </c>
      <c r="C522" s="1166" t="s">
        <v>878</v>
      </c>
      <c r="D522" s="514"/>
      <c r="E522" s="1286"/>
      <c r="F522" s="1272">
        <f>SUM('[8]Keró'!D270)</f>
        <v>833</v>
      </c>
      <c r="G522" s="515"/>
      <c r="H522" s="515"/>
      <c r="I522" s="516">
        <f>F522</f>
        <v>833</v>
      </c>
      <c r="J522" s="517">
        <v>1000</v>
      </c>
      <c r="K522" s="528"/>
      <c r="L522" s="518"/>
      <c r="M522" s="519">
        <f>I522*J522</f>
        <v>833000</v>
      </c>
    </row>
    <row r="523" spans="2:13" ht="14.25">
      <c r="B523" s="1425" t="s">
        <v>23</v>
      </c>
      <c r="C523" s="1426"/>
      <c r="D523" s="1426"/>
      <c r="E523" s="1426"/>
      <c r="F523" s="1426"/>
      <c r="G523" s="1426"/>
      <c r="H523" s="1426"/>
      <c r="I523" s="1427"/>
      <c r="J523" s="466"/>
      <c r="K523" s="529"/>
      <c r="L523" s="530"/>
      <c r="M523" s="521">
        <f>SUM(M505:M522)</f>
        <v>217251499.3846154</v>
      </c>
    </row>
    <row r="524" spans="1:13" ht="12.75">
      <c r="A524" s="493">
        <v>25</v>
      </c>
      <c r="B524" s="522" t="s">
        <v>524</v>
      </c>
      <c r="C524" s="1163" t="s">
        <v>1477</v>
      </c>
      <c r="D524" s="498"/>
      <c r="E524" s="497">
        <f>SUM('[8]Ruhaipari'!C41)</f>
        <v>131</v>
      </c>
      <c r="F524" s="541"/>
      <c r="G524" s="497"/>
      <c r="H524" s="497"/>
      <c r="I524" s="497"/>
      <c r="J524" s="498">
        <v>2550000</v>
      </c>
      <c r="K524" s="497">
        <f>SUM('[8]Ruhaipari segéd'!M17)</f>
        <v>18527935.42857143</v>
      </c>
      <c r="L524" s="496"/>
      <c r="M524" s="499">
        <f aca="true" t="shared" si="36" ref="M524:M533">SUM(K524:L524)</f>
        <v>18527935.42857143</v>
      </c>
    </row>
    <row r="525" spans="1:13" ht="12.75">
      <c r="A525" s="493">
        <v>25</v>
      </c>
      <c r="B525" s="523" t="s">
        <v>524</v>
      </c>
      <c r="C525" s="1164" t="s">
        <v>1478</v>
      </c>
      <c r="D525" s="504"/>
      <c r="E525" s="502">
        <f>SUM('[8]Ruhaipari'!C42)</f>
        <v>137</v>
      </c>
      <c r="F525" s="538"/>
      <c r="G525" s="502"/>
      <c r="H525" s="502"/>
      <c r="I525" s="502"/>
      <c r="J525" s="504">
        <v>2550000</v>
      </c>
      <c r="K525" s="502">
        <f>SUM('[8]Ruhaipari segéd'!M18)</f>
        <v>20941515.076923076</v>
      </c>
      <c r="L525" s="503"/>
      <c r="M525" s="388">
        <f t="shared" si="36"/>
        <v>20941515.076923076</v>
      </c>
    </row>
    <row r="526" spans="1:13" ht="12.75">
      <c r="A526" s="493">
        <v>25</v>
      </c>
      <c r="B526" s="523" t="s">
        <v>524</v>
      </c>
      <c r="C526" s="1164" t="s">
        <v>969</v>
      </c>
      <c r="D526" s="504"/>
      <c r="E526" s="502">
        <f>SUM('[8]Ruhaipari'!C43)</f>
        <v>115</v>
      </c>
      <c r="F526" s="538"/>
      <c r="G526" s="502"/>
      <c r="H526" s="502"/>
      <c r="I526" s="502"/>
      <c r="J526" s="504">
        <v>2550000</v>
      </c>
      <c r="K526" s="502">
        <f>SUM('[8]Ruhaipari segéd'!M19)</f>
        <v>20740000</v>
      </c>
      <c r="L526" s="503"/>
      <c r="M526" s="388">
        <f t="shared" si="36"/>
        <v>20740000</v>
      </c>
    </row>
    <row r="527" spans="1:13" ht="12.75">
      <c r="A527" s="493">
        <v>25</v>
      </c>
      <c r="B527" s="523" t="s">
        <v>524</v>
      </c>
      <c r="C527" s="1164" t="s">
        <v>757</v>
      </c>
      <c r="D527" s="504"/>
      <c r="E527" s="503"/>
      <c r="F527" s="502">
        <f>SUM('[8]Ruhaipari'!D45)</f>
        <v>216</v>
      </c>
      <c r="G527" s="502"/>
      <c r="H527" s="502"/>
      <c r="I527" s="502"/>
      <c r="J527" s="504">
        <v>2550000</v>
      </c>
      <c r="K527" s="503"/>
      <c r="L527" s="502">
        <f>SUM('[8]Ruhaipari segéd'!M37)</f>
        <v>15300000</v>
      </c>
      <c r="M527" s="388">
        <f t="shared" si="36"/>
        <v>15300000</v>
      </c>
    </row>
    <row r="528" spans="1:13" ht="12.75">
      <c r="A528" s="493">
        <v>25</v>
      </c>
      <c r="B528" s="523" t="s">
        <v>524</v>
      </c>
      <c r="C528" s="1164" t="s">
        <v>758</v>
      </c>
      <c r="D528" s="504"/>
      <c r="E528" s="503"/>
      <c r="F528" s="502">
        <f>SUM('[8]Ruhaipari'!D46)</f>
        <v>121</v>
      </c>
      <c r="G528" s="502"/>
      <c r="H528" s="502"/>
      <c r="I528" s="502"/>
      <c r="J528" s="504">
        <v>2550000</v>
      </c>
      <c r="K528" s="503"/>
      <c r="L528" s="502">
        <f>SUM('[8]Ruhaipari segéd'!M38)</f>
        <v>10951531.076923076</v>
      </c>
      <c r="M528" s="388">
        <f t="shared" si="36"/>
        <v>10951531.076923076</v>
      </c>
    </row>
    <row r="529" spans="1:13" ht="25.5">
      <c r="A529" s="493">
        <v>25</v>
      </c>
      <c r="B529" s="523" t="s">
        <v>524</v>
      </c>
      <c r="C529" s="1165" t="s">
        <v>961</v>
      </c>
      <c r="D529" s="504"/>
      <c r="E529" s="502">
        <f>SUM('[8]Ruhaipari'!C50)</f>
        <v>252</v>
      </c>
      <c r="F529" s="503"/>
      <c r="G529" s="502"/>
      <c r="H529" s="502"/>
      <c r="I529" s="502"/>
      <c r="J529" s="504">
        <v>2550000</v>
      </c>
      <c r="K529" s="502">
        <f>SUM('[8]Ruhaipari segéd'!M21)</f>
        <v>33490000</v>
      </c>
      <c r="L529" s="503"/>
      <c r="M529" s="388">
        <f t="shared" si="36"/>
        <v>33490000</v>
      </c>
    </row>
    <row r="530" spans="1:13" ht="25.5">
      <c r="A530" s="493">
        <v>25</v>
      </c>
      <c r="B530" s="523" t="s">
        <v>524</v>
      </c>
      <c r="C530" s="1165" t="s">
        <v>962</v>
      </c>
      <c r="D530" s="504"/>
      <c r="E530" s="503"/>
      <c r="F530" s="502">
        <f>SUM('[8]Ruhaipari'!D52)</f>
        <v>230</v>
      </c>
      <c r="G530" s="502"/>
      <c r="H530" s="502"/>
      <c r="I530" s="502"/>
      <c r="J530" s="504">
        <v>2550000</v>
      </c>
      <c r="K530" s="503"/>
      <c r="L530" s="502">
        <f>SUM('[8]Ruhaipari segéd'!M39)</f>
        <v>14171624.999999998</v>
      </c>
      <c r="M530" s="388">
        <f t="shared" si="36"/>
        <v>14171624.999999998</v>
      </c>
    </row>
    <row r="531" spans="1:13" ht="25.5">
      <c r="A531" s="493">
        <v>25</v>
      </c>
      <c r="B531" s="523" t="s">
        <v>524</v>
      </c>
      <c r="C531" s="1165" t="s">
        <v>963</v>
      </c>
      <c r="D531" s="504"/>
      <c r="E531" s="503"/>
      <c r="F531" s="502">
        <f>SUM('[8]Ruhaipari'!D53)</f>
        <v>48</v>
      </c>
      <c r="G531" s="502"/>
      <c r="H531" s="502"/>
      <c r="I531" s="502"/>
      <c r="J531" s="504">
        <v>2550000</v>
      </c>
      <c r="K531" s="503"/>
      <c r="L531" s="502">
        <f>SUM('[8]Ruhaipari segéd'!M40)</f>
        <v>3181942.4615384615</v>
      </c>
      <c r="M531" s="388">
        <f t="shared" si="36"/>
        <v>3181942.4615384615</v>
      </c>
    </row>
    <row r="532" spans="1:13" ht="25.5">
      <c r="A532" s="492">
        <v>25</v>
      </c>
      <c r="B532" s="523" t="s">
        <v>524</v>
      </c>
      <c r="C532" s="1165" t="s">
        <v>317</v>
      </c>
      <c r="D532" s="501"/>
      <c r="E532" s="502">
        <f>SUM('[8]Ruhaipari'!C110)</f>
        <v>99</v>
      </c>
      <c r="F532" s="502">
        <f>SUM('[8]Ruhaipari'!D111)</f>
        <v>123</v>
      </c>
      <c r="G532" s="502">
        <f aca="true" t="shared" si="37" ref="G532:G537">E532*8/12</f>
        <v>66</v>
      </c>
      <c r="H532" s="502">
        <f>F532*4/12</f>
        <v>41</v>
      </c>
      <c r="I532" s="512">
        <f aca="true" t="shared" si="38" ref="I532:I538">SUM(G532:H532)</f>
        <v>107</v>
      </c>
      <c r="J532" s="504">
        <v>40000</v>
      </c>
      <c r="K532" s="502">
        <f aca="true" t="shared" si="39" ref="K532:K537">G532*J532</f>
        <v>2640000</v>
      </c>
      <c r="L532" s="502">
        <f>H532*J532</f>
        <v>1640000</v>
      </c>
      <c r="M532" s="388">
        <f t="shared" si="36"/>
        <v>4280000</v>
      </c>
    </row>
    <row r="533" spans="1:13" ht="25.5">
      <c r="A533" s="492">
        <v>25</v>
      </c>
      <c r="B533" s="523" t="s">
        <v>524</v>
      </c>
      <c r="C533" s="1165" t="s">
        <v>321</v>
      </c>
      <c r="D533" s="509"/>
      <c r="E533" s="502">
        <f>SUM('[8]Ruhaipari'!C114)</f>
        <v>31</v>
      </c>
      <c r="F533" s="502">
        <f>SUM('[8]Ruhaipari'!D115)</f>
        <v>41</v>
      </c>
      <c r="G533" s="502">
        <f t="shared" si="37"/>
        <v>20.666666666666668</v>
      </c>
      <c r="H533" s="502">
        <f>F533*4/12</f>
        <v>13.666666666666666</v>
      </c>
      <c r="I533" s="512">
        <f t="shared" si="38"/>
        <v>34.333333333333336</v>
      </c>
      <c r="J533" s="509">
        <v>112000</v>
      </c>
      <c r="K533" s="502">
        <f t="shared" si="39"/>
        <v>2314666.666666667</v>
      </c>
      <c r="L533" s="502">
        <f>H533*J533</f>
        <v>1530666.6666666665</v>
      </c>
      <c r="M533" s="388">
        <f t="shared" si="36"/>
        <v>3845333.3333333335</v>
      </c>
    </row>
    <row r="534" spans="1:13" ht="25.5">
      <c r="A534" s="492">
        <v>25</v>
      </c>
      <c r="B534" s="523" t="s">
        <v>524</v>
      </c>
      <c r="C534" s="1165" t="s">
        <v>323</v>
      </c>
      <c r="D534" s="509"/>
      <c r="E534" s="502">
        <f>SUM('[8]Ruhaipari'!C117)</f>
        <v>39</v>
      </c>
      <c r="F534" s="502">
        <f>SUM('[8]Ruhaipari'!D118)</f>
        <v>51</v>
      </c>
      <c r="G534" s="502">
        <f t="shared" si="37"/>
        <v>26</v>
      </c>
      <c r="H534" s="502">
        <f>F534*4/12-0.053334</f>
        <v>16.946666</v>
      </c>
      <c r="I534" s="512">
        <f t="shared" si="38"/>
        <v>42.946666</v>
      </c>
      <c r="J534" s="509">
        <v>156800</v>
      </c>
      <c r="K534" s="502">
        <f t="shared" si="39"/>
        <v>4076800</v>
      </c>
      <c r="L534" s="502">
        <f>H534*J534</f>
        <v>2657237.2288</v>
      </c>
      <c r="M534" s="388">
        <f>SUM(K534:L534)+1</f>
        <v>6734038.228800001</v>
      </c>
    </row>
    <row r="535" spans="1:13" ht="25.5">
      <c r="A535" s="492">
        <v>25</v>
      </c>
      <c r="B535" s="523" t="s">
        <v>524</v>
      </c>
      <c r="C535" s="1165" t="s">
        <v>325</v>
      </c>
      <c r="D535" s="509"/>
      <c r="E535" s="502">
        <f>SUM('[8]Ruhaipari'!C120)</f>
        <v>23.31</v>
      </c>
      <c r="F535" s="502">
        <f>SUM('[8]Ruhaipari'!D121)</f>
        <v>22.58</v>
      </c>
      <c r="G535" s="507">
        <f t="shared" si="37"/>
        <v>15.54</v>
      </c>
      <c r="H535" s="507">
        <f>F535*4/12+0.2099999</f>
        <v>7.736666566666666</v>
      </c>
      <c r="I535" s="512">
        <f t="shared" si="38"/>
        <v>23.276666566666666</v>
      </c>
      <c r="J535" s="509">
        <v>67200</v>
      </c>
      <c r="K535" s="502">
        <f t="shared" si="39"/>
        <v>1044288</v>
      </c>
      <c r="L535" s="502">
        <f>H535*J535</f>
        <v>519903.99327999994</v>
      </c>
      <c r="M535" s="388">
        <f aca="true" t="shared" si="40" ref="M535:M540">SUM(K535:L535)</f>
        <v>1564191.99328</v>
      </c>
    </row>
    <row r="536" spans="1:13" ht="37.5" customHeight="1">
      <c r="A536" s="492">
        <v>25</v>
      </c>
      <c r="B536" s="523" t="s">
        <v>524</v>
      </c>
      <c r="C536" s="1165" t="s">
        <v>327</v>
      </c>
      <c r="D536" s="509"/>
      <c r="E536" s="502">
        <f>SUM('[8]Ruhaipari'!C123)</f>
        <v>161</v>
      </c>
      <c r="F536" s="502">
        <f>SUM('[8]Ruhaipari'!D124)</f>
        <v>150</v>
      </c>
      <c r="G536" s="507">
        <f t="shared" si="37"/>
        <v>107.33333333333333</v>
      </c>
      <c r="H536" s="507">
        <f>F536*4/12</f>
        <v>50</v>
      </c>
      <c r="I536" s="512">
        <f t="shared" si="38"/>
        <v>157.33333333333331</v>
      </c>
      <c r="J536" s="509">
        <v>22400</v>
      </c>
      <c r="K536" s="502">
        <f t="shared" si="39"/>
        <v>2404266.6666666665</v>
      </c>
      <c r="L536" s="502">
        <f>H536*J536</f>
        <v>1120000</v>
      </c>
      <c r="M536" s="388">
        <f t="shared" si="40"/>
        <v>3524266.6666666665</v>
      </c>
    </row>
    <row r="537" spans="1:13" ht="51">
      <c r="A537" s="492">
        <v>25</v>
      </c>
      <c r="B537" s="523" t="s">
        <v>524</v>
      </c>
      <c r="C537" s="1165" t="s">
        <v>716</v>
      </c>
      <c r="D537" s="509"/>
      <c r="E537" s="506">
        <f>SUM('[8]Ruhaipari'!C160)</f>
        <v>41</v>
      </c>
      <c r="F537" s="503"/>
      <c r="G537" s="507">
        <f t="shared" si="37"/>
        <v>27.333333333333332</v>
      </c>
      <c r="H537" s="511"/>
      <c r="I537" s="508">
        <f t="shared" si="38"/>
        <v>27.333333333333332</v>
      </c>
      <c r="J537" s="509">
        <v>192000</v>
      </c>
      <c r="K537" s="502">
        <f t="shared" si="39"/>
        <v>5248000</v>
      </c>
      <c r="L537" s="503"/>
      <c r="M537" s="388">
        <f t="shared" si="40"/>
        <v>5248000</v>
      </c>
    </row>
    <row r="538" spans="1:13" ht="38.25">
      <c r="A538" s="492">
        <v>25</v>
      </c>
      <c r="B538" s="523" t="s">
        <v>524</v>
      </c>
      <c r="C538" s="1165" t="s">
        <v>1337</v>
      </c>
      <c r="D538" s="505"/>
      <c r="E538" s="510"/>
      <c r="F538" s="506">
        <f>SUM('[8]Ruhaipari'!D172)</f>
        <v>39</v>
      </c>
      <c r="G538" s="506"/>
      <c r="H538" s="507">
        <f>F538*4/12</f>
        <v>13</v>
      </c>
      <c r="I538" s="508">
        <f t="shared" si="38"/>
        <v>13</v>
      </c>
      <c r="J538" s="509">
        <v>144000</v>
      </c>
      <c r="K538" s="510"/>
      <c r="L538" s="506">
        <f>I538*J538</f>
        <v>1872000</v>
      </c>
      <c r="M538" s="388">
        <f t="shared" si="40"/>
        <v>1872000</v>
      </c>
    </row>
    <row r="539" spans="1:13" ht="12.75">
      <c r="A539" s="492">
        <v>25</v>
      </c>
      <c r="B539" s="523" t="s">
        <v>524</v>
      </c>
      <c r="C539" s="1165" t="s">
        <v>1480</v>
      </c>
      <c r="D539" s="505"/>
      <c r="E539" s="506">
        <f>SUM('[8]Ruhaipari'!C237)</f>
        <v>332</v>
      </c>
      <c r="F539" s="506"/>
      <c r="G539" s="502">
        <f>E539*8/12</f>
        <v>221.33333333333334</v>
      </c>
      <c r="H539" s="502">
        <f>F539*4/12</f>
        <v>0</v>
      </c>
      <c r="I539" s="512">
        <f>ROUND(SUM(G539:H539),0)</f>
        <v>221</v>
      </c>
      <c r="J539" s="509">
        <v>15000</v>
      </c>
      <c r="K539" s="502">
        <f>G539*J539</f>
        <v>3320000</v>
      </c>
      <c r="L539" s="502">
        <f>H539*J539</f>
        <v>0</v>
      </c>
      <c r="M539" s="388">
        <f t="shared" si="40"/>
        <v>3320000</v>
      </c>
    </row>
    <row r="540" spans="1:13" ht="12.75">
      <c r="A540" s="492">
        <v>25</v>
      </c>
      <c r="B540" s="523" t="s">
        <v>524</v>
      </c>
      <c r="C540" s="1165" t="s">
        <v>1481</v>
      </c>
      <c r="D540" s="509"/>
      <c r="E540" s="506"/>
      <c r="F540" s="506">
        <v>310</v>
      </c>
      <c r="G540" s="506"/>
      <c r="H540" s="506">
        <v>103.33333333333333</v>
      </c>
      <c r="I540" s="539">
        <f>F540/12*4</f>
        <v>103.33333333333333</v>
      </c>
      <c r="J540" s="509">
        <v>18000</v>
      </c>
      <c r="K540" s="506"/>
      <c r="L540" s="506">
        <v>1860000</v>
      </c>
      <c r="M540" s="540">
        <f t="shared" si="40"/>
        <v>1860000</v>
      </c>
    </row>
    <row r="541" spans="1:13" ht="25.5">
      <c r="A541" s="492">
        <v>25</v>
      </c>
      <c r="B541" s="523" t="s">
        <v>524</v>
      </c>
      <c r="C541" s="1165" t="s">
        <v>1508</v>
      </c>
      <c r="D541" s="505"/>
      <c r="E541" s="1273">
        <f>SUM('[8]Ruhaipari'!C259)</f>
        <v>28.07</v>
      </c>
      <c r="F541" s="1273">
        <f>SUM('[8]Ruhaipari'!D262)</f>
        <v>0</v>
      </c>
      <c r="G541" s="506"/>
      <c r="H541" s="506"/>
      <c r="I541" s="508">
        <f>SUM(E541:F541)</f>
        <v>28.07</v>
      </c>
      <c r="J541" s="509">
        <v>55000</v>
      </c>
      <c r="K541" s="502"/>
      <c r="L541" s="502"/>
      <c r="M541" s="388">
        <f>I541*J541</f>
        <v>1543850</v>
      </c>
    </row>
    <row r="542" spans="1:13" ht="12.75">
      <c r="A542" s="492">
        <v>25</v>
      </c>
      <c r="B542" s="523" t="s">
        <v>524</v>
      </c>
      <c r="C542" s="1165" t="s">
        <v>1509</v>
      </c>
      <c r="D542" s="505"/>
      <c r="E542" s="1285"/>
      <c r="F542" s="1273">
        <f>SUM('[8]Ruhaipari'!D269)</f>
        <v>265</v>
      </c>
      <c r="G542" s="506"/>
      <c r="H542" s="506"/>
      <c r="I542" s="508">
        <f>F542</f>
        <v>265</v>
      </c>
      <c r="J542" s="509">
        <v>10000</v>
      </c>
      <c r="K542" s="503"/>
      <c r="L542" s="502"/>
      <c r="M542" s="388">
        <f>I542*J542</f>
        <v>2650000</v>
      </c>
    </row>
    <row r="543" spans="1:13" ht="12.75">
      <c r="A543" s="492">
        <v>25</v>
      </c>
      <c r="B543" s="526" t="s">
        <v>524</v>
      </c>
      <c r="C543" s="1166" t="s">
        <v>878</v>
      </c>
      <c r="D543" s="514"/>
      <c r="E543" s="1286"/>
      <c r="F543" s="1272">
        <f>SUM('[8]Ruhaipari'!D270)</f>
        <v>615</v>
      </c>
      <c r="G543" s="515"/>
      <c r="H543" s="515"/>
      <c r="I543" s="516">
        <f>F543</f>
        <v>615</v>
      </c>
      <c r="J543" s="517">
        <v>1000</v>
      </c>
      <c r="K543" s="528"/>
      <c r="L543" s="518"/>
      <c r="M543" s="519">
        <f>I543*J543</f>
        <v>615000</v>
      </c>
    </row>
    <row r="544" spans="2:13" ht="14.25">
      <c r="B544" s="1425" t="s">
        <v>24</v>
      </c>
      <c r="C544" s="1426"/>
      <c r="D544" s="1426"/>
      <c r="E544" s="1426"/>
      <c r="F544" s="1426"/>
      <c r="G544" s="1426"/>
      <c r="H544" s="1426"/>
      <c r="I544" s="1427"/>
      <c r="J544" s="466"/>
      <c r="K544" s="529"/>
      <c r="L544" s="530"/>
      <c r="M544" s="521">
        <f>SUM(M524:M543)</f>
        <v>174361229.26603603</v>
      </c>
    </row>
    <row r="545" spans="1:13" ht="12.75">
      <c r="A545" s="492">
        <v>26</v>
      </c>
      <c r="B545" s="546" t="s">
        <v>64</v>
      </c>
      <c r="C545" s="1168" t="s">
        <v>370</v>
      </c>
      <c r="D545" s="531"/>
      <c r="E545" s="532">
        <f>SUM('[8]Kollégium'!C83)</f>
        <v>683</v>
      </c>
      <c r="F545" s="533"/>
      <c r="G545" s="497">
        <f>E545*8/12</f>
        <v>455.3333333333333</v>
      </c>
      <c r="H545" s="497">
        <f>F545*4/12</f>
        <v>0</v>
      </c>
      <c r="I545" s="534">
        <f>SUM(G545:H545)</f>
        <v>455.3333333333333</v>
      </c>
      <c r="J545" s="531">
        <v>318000</v>
      </c>
      <c r="K545" s="497">
        <f>I545*J545</f>
        <v>144796000</v>
      </c>
      <c r="L545" s="496"/>
      <c r="M545" s="499">
        <f>SUM(K545:L545)</f>
        <v>144796000</v>
      </c>
    </row>
    <row r="546" spans="1:13" ht="38.25">
      <c r="A546" s="492">
        <v>26</v>
      </c>
      <c r="B546" s="542" t="s">
        <v>64</v>
      </c>
      <c r="C546" s="1165" t="s">
        <v>766</v>
      </c>
      <c r="D546" s="509"/>
      <c r="E546" s="506">
        <f>SUM('[8]Kollégium'!C84)</f>
        <v>141</v>
      </c>
      <c r="F546" s="510"/>
      <c r="G546" s="502">
        <f>E546*8/12</f>
        <v>94</v>
      </c>
      <c r="H546" s="502">
        <f>F546*4/12</f>
        <v>0</v>
      </c>
      <c r="I546" s="512">
        <f>ROUND(SUM(G546:H546),0)</f>
        <v>94</v>
      </c>
      <c r="J546" s="509">
        <v>730000</v>
      </c>
      <c r="K546" s="502">
        <f>I546*J546</f>
        <v>68620000</v>
      </c>
      <c r="L546" s="503"/>
      <c r="M546" s="388">
        <f>SUM(K546:L546)</f>
        <v>68620000</v>
      </c>
    </row>
    <row r="547" spans="1:13" ht="12.75">
      <c r="A547" s="492">
        <v>26</v>
      </c>
      <c r="B547" s="542" t="s">
        <v>64</v>
      </c>
      <c r="C547" s="1165" t="s">
        <v>1482</v>
      </c>
      <c r="D547" s="509"/>
      <c r="E547" s="503"/>
      <c r="F547" s="506">
        <f>SUM('[8]Kollégium'!D96)</f>
        <v>750</v>
      </c>
      <c r="G547" s="502"/>
      <c r="H547" s="502"/>
      <c r="I547" s="502"/>
      <c r="J547" s="504">
        <v>2550000</v>
      </c>
      <c r="K547" s="503"/>
      <c r="L547" s="502">
        <f>SUM('[8]Kollégium segéd'!M43)</f>
        <v>33150000</v>
      </c>
      <c r="M547" s="388">
        <f>SUM(K547:L547)</f>
        <v>33150000</v>
      </c>
    </row>
    <row r="548" spans="1:13" ht="38.25">
      <c r="A548" s="492">
        <v>26</v>
      </c>
      <c r="B548" s="542" t="s">
        <v>64</v>
      </c>
      <c r="C548" s="1165" t="s">
        <v>767</v>
      </c>
      <c r="D548" s="509"/>
      <c r="E548" s="502">
        <f>SUM('[8]Kollégium'!C230)</f>
        <v>0</v>
      </c>
      <c r="F548" s="502">
        <f>SUM('[8]Kollégium'!D233)</f>
        <v>142</v>
      </c>
      <c r="G548" s="502">
        <f>E548*8/12</f>
        <v>0</v>
      </c>
      <c r="H548" s="502">
        <f>F548*4/12</f>
        <v>47.333333333333336</v>
      </c>
      <c r="I548" s="512">
        <f>SUM(G548:H548)</f>
        <v>47.333333333333336</v>
      </c>
      <c r="J548" s="504">
        <v>480000</v>
      </c>
      <c r="K548" s="502">
        <f>G548*J548</f>
        <v>0</v>
      </c>
      <c r="L548" s="502">
        <f>H548*J548</f>
        <v>22720000</v>
      </c>
      <c r="M548" s="388">
        <f>SUM(K548:L548)</f>
        <v>22720000</v>
      </c>
    </row>
    <row r="549" spans="1:13" ht="25.5">
      <c r="A549" s="492">
        <v>26</v>
      </c>
      <c r="B549" s="542" t="s">
        <v>64</v>
      </c>
      <c r="C549" s="1165" t="s">
        <v>1508</v>
      </c>
      <c r="D549" s="505"/>
      <c r="E549" s="1273">
        <f>SUM('[8]Kollégium'!C260)</f>
        <v>230</v>
      </c>
      <c r="F549" s="506">
        <f>SUM('[8]Kollégium'!D266)</f>
        <v>0</v>
      </c>
      <c r="G549" s="506"/>
      <c r="H549" s="506"/>
      <c r="I549" s="508">
        <f>SUM(E549:F549)+0.01</f>
        <v>230.01</v>
      </c>
      <c r="J549" s="509">
        <v>55000</v>
      </c>
      <c r="K549" s="502"/>
      <c r="L549" s="502"/>
      <c r="M549" s="388">
        <f>I549*J549</f>
        <v>12650550</v>
      </c>
    </row>
    <row r="550" spans="1:13" ht="12.75">
      <c r="A550" s="492">
        <v>26</v>
      </c>
      <c r="B550" s="547" t="s">
        <v>64</v>
      </c>
      <c r="C550" s="1166" t="s">
        <v>598</v>
      </c>
      <c r="D550" s="548"/>
      <c r="E550" s="528"/>
      <c r="F550" s="518">
        <f>SUM('[8]Kollégium'!D275)</f>
        <v>750</v>
      </c>
      <c r="G550" s="518"/>
      <c r="H550" s="518">
        <f>F550/12*4</f>
        <v>250</v>
      </c>
      <c r="I550" s="518">
        <f>SUM(H550)</f>
        <v>250</v>
      </c>
      <c r="J550" s="549">
        <v>186000</v>
      </c>
      <c r="K550" s="528"/>
      <c r="L550" s="518">
        <f>I550*J550</f>
        <v>46500000</v>
      </c>
      <c r="M550" s="519">
        <f>SUM(K550:L550)</f>
        <v>46500000</v>
      </c>
    </row>
    <row r="551" spans="2:13" ht="14.25">
      <c r="B551" s="1425" t="s">
        <v>453</v>
      </c>
      <c r="C551" s="1426"/>
      <c r="D551" s="1426"/>
      <c r="E551" s="1426"/>
      <c r="F551" s="1426"/>
      <c r="G551" s="1426"/>
      <c r="H551" s="1426"/>
      <c r="I551" s="1427"/>
      <c r="J551" s="465"/>
      <c r="K551" s="529"/>
      <c r="L551" s="530"/>
      <c r="M551" s="521">
        <f>SUM(M545:M550)</f>
        <v>328436550</v>
      </c>
    </row>
    <row r="552" spans="1:13" ht="12.75">
      <c r="A552" s="492">
        <v>27</v>
      </c>
      <c r="B552" s="546" t="s">
        <v>1</v>
      </c>
      <c r="C552" s="1168" t="s">
        <v>376</v>
      </c>
      <c r="D552" s="531"/>
      <c r="E552" s="532">
        <f>SUM('[8]Ped.szaksz'!C174)</f>
        <v>4.55</v>
      </c>
      <c r="F552" s="532">
        <f>SUM('[8]Ped.szaksz'!D175)</f>
        <v>2.28</v>
      </c>
      <c r="G552" s="532">
        <f>E552/12*8</f>
        <v>3.033333333333333</v>
      </c>
      <c r="H552" s="532">
        <f>F552/12*4</f>
        <v>0.7599999999999999</v>
      </c>
      <c r="I552" s="550">
        <f>SUM(G552:H552)</f>
        <v>3.793333333333333</v>
      </c>
      <c r="J552" s="531">
        <v>240000</v>
      </c>
      <c r="K552" s="532"/>
      <c r="L552" s="532"/>
      <c r="M552" s="499">
        <f>I552*J552</f>
        <v>910399.9999999999</v>
      </c>
    </row>
    <row r="553" spans="1:13" ht="12.75">
      <c r="A553" s="492">
        <v>27</v>
      </c>
      <c r="B553" s="547" t="s">
        <v>1</v>
      </c>
      <c r="C553" s="1166" t="s">
        <v>378</v>
      </c>
      <c r="D553" s="517"/>
      <c r="E553" s="515">
        <f>SUM('[8]Ped.szaksz'!C177)</f>
        <v>2.7</v>
      </c>
      <c r="F553" s="515">
        <f>SUM('[8]Ped.szaksz'!D178)</f>
        <v>1.36</v>
      </c>
      <c r="G553" s="515">
        <f>E553/12*8</f>
        <v>1.8</v>
      </c>
      <c r="H553" s="515">
        <f>F553/12*4</f>
        <v>0.45333333333333337</v>
      </c>
      <c r="I553" s="516">
        <f>SUM(G553:H553)+0.079999</f>
        <v>2.3333323333333333</v>
      </c>
      <c r="J553" s="517">
        <v>325000</v>
      </c>
      <c r="K553" s="518"/>
      <c r="L553" s="518"/>
      <c r="M553" s="519">
        <f>J553*I553</f>
        <v>758333.0083333333</v>
      </c>
    </row>
    <row r="554" spans="2:13" ht="14.25">
      <c r="B554" s="1425" t="s">
        <v>599</v>
      </c>
      <c r="C554" s="1426"/>
      <c r="D554" s="1426"/>
      <c r="E554" s="1426"/>
      <c r="F554" s="1426"/>
      <c r="G554" s="1426"/>
      <c r="H554" s="1426"/>
      <c r="I554" s="1427"/>
      <c r="J554" s="583"/>
      <c r="K554" s="1360"/>
      <c r="L554" s="1360"/>
      <c r="M554" s="1284">
        <f>SUM(M552:M553)</f>
        <v>1668733.0083333333</v>
      </c>
    </row>
    <row r="555" spans="1:13" ht="12.75">
      <c r="A555" s="493">
        <v>28</v>
      </c>
      <c r="B555" s="494" t="s">
        <v>2</v>
      </c>
      <c r="C555" s="1163" t="s">
        <v>308</v>
      </c>
      <c r="D555" s="463"/>
      <c r="E555" s="497"/>
      <c r="F555" s="497"/>
      <c r="G555" s="497"/>
      <c r="H555" s="497"/>
      <c r="I555" s="497">
        <v>357</v>
      </c>
      <c r="J555" s="498">
        <v>547000</v>
      </c>
      <c r="K555" s="497"/>
      <c r="L555" s="497"/>
      <c r="M555" s="551">
        <f>J555*I555</f>
        <v>195279000</v>
      </c>
    </row>
    <row r="556" spans="1:13" ht="12.75">
      <c r="A556" s="492">
        <v>28</v>
      </c>
      <c r="B556" s="500" t="s">
        <v>2</v>
      </c>
      <c r="C556" s="1164" t="s">
        <v>310</v>
      </c>
      <c r="D556" s="504"/>
      <c r="E556" s="502"/>
      <c r="F556" s="502"/>
      <c r="G556" s="502"/>
      <c r="H556" s="502"/>
      <c r="I556" s="502">
        <v>45</v>
      </c>
      <c r="J556" s="504">
        <v>50000</v>
      </c>
      <c r="K556" s="502"/>
      <c r="L556" s="502"/>
      <c r="M556" s="552">
        <f>J556*I556</f>
        <v>2250000</v>
      </c>
    </row>
    <row r="557" spans="1:13" ht="12.75">
      <c r="A557" s="492">
        <v>28</v>
      </c>
      <c r="B557" s="513" t="s">
        <v>2</v>
      </c>
      <c r="C557" s="1166" t="s">
        <v>376</v>
      </c>
      <c r="D557" s="517"/>
      <c r="E557" s="515">
        <f>SUM('[8]BIG'!C174)</f>
        <v>16.8</v>
      </c>
      <c r="F557" s="515">
        <f>SUM('[8]BIG'!D175)</f>
        <v>8</v>
      </c>
      <c r="G557" s="515">
        <f>E557/12*8</f>
        <v>11.200000000000001</v>
      </c>
      <c r="H557" s="515">
        <f>F557/12*4</f>
        <v>2.6666666666666665</v>
      </c>
      <c r="I557" s="516">
        <f>SUM(G557:H557)-0.32666667</f>
        <v>13.539999996666667</v>
      </c>
      <c r="J557" s="517">
        <v>240000</v>
      </c>
      <c r="K557" s="515"/>
      <c r="L557" s="515"/>
      <c r="M557" s="519">
        <f>J557*I557</f>
        <v>3249599.9992</v>
      </c>
    </row>
    <row r="558" spans="2:13" ht="14.25">
      <c r="B558" s="1425" t="s">
        <v>726</v>
      </c>
      <c r="C558" s="1426"/>
      <c r="D558" s="1426"/>
      <c r="E558" s="1426"/>
      <c r="F558" s="1426"/>
      <c r="G558" s="1426"/>
      <c r="H558" s="1426"/>
      <c r="I558" s="1427"/>
      <c r="J558" s="466"/>
      <c r="K558" s="553"/>
      <c r="L558" s="553"/>
      <c r="M558" s="521">
        <f>SUM(M555:M557)</f>
        <v>200778599.9992</v>
      </c>
    </row>
    <row r="559" spans="1:13" ht="19.5" customHeight="1">
      <c r="A559" s="493">
        <v>29</v>
      </c>
      <c r="B559" s="554" t="s">
        <v>715</v>
      </c>
      <c r="C559" s="1163" t="s">
        <v>301</v>
      </c>
      <c r="D559" s="463"/>
      <c r="E559" s="497"/>
      <c r="F559" s="497"/>
      <c r="G559" s="497"/>
      <c r="H559" s="497"/>
      <c r="I559" s="555">
        <v>18</v>
      </c>
      <c r="J559" s="498">
        <v>465100</v>
      </c>
      <c r="K559" s="497"/>
      <c r="L559" s="497"/>
      <c r="M559" s="551">
        <f>J559*I559</f>
        <v>8371800</v>
      </c>
    </row>
    <row r="560" spans="1:13" ht="19.5" customHeight="1">
      <c r="A560" s="492">
        <v>29</v>
      </c>
      <c r="B560" s="556" t="s">
        <v>715</v>
      </c>
      <c r="C560" s="1166" t="s">
        <v>727</v>
      </c>
      <c r="D560" s="549"/>
      <c r="E560" s="518"/>
      <c r="F560" s="518"/>
      <c r="G560" s="518"/>
      <c r="H560" s="518"/>
      <c r="I560" s="557">
        <v>45</v>
      </c>
      <c r="J560" s="549">
        <v>800000</v>
      </c>
      <c r="K560" s="518"/>
      <c r="L560" s="518"/>
      <c r="M560" s="558">
        <f>J560*I560</f>
        <v>36000000</v>
      </c>
    </row>
    <row r="561" spans="2:13" ht="14.25">
      <c r="B561" s="1425" t="s">
        <v>768</v>
      </c>
      <c r="C561" s="1426"/>
      <c r="D561" s="1426"/>
      <c r="E561" s="1426"/>
      <c r="F561" s="1426"/>
      <c r="G561" s="1426"/>
      <c r="H561" s="1426"/>
      <c r="I561" s="1427"/>
      <c r="J561" s="465"/>
      <c r="K561" s="530"/>
      <c r="L561" s="530"/>
      <c r="M561" s="559">
        <f>SUM(M559:M560)</f>
        <v>44371800</v>
      </c>
    </row>
    <row r="562" spans="2:13" ht="26.25" customHeight="1">
      <c r="B562" s="1432" t="s">
        <v>728</v>
      </c>
      <c r="C562" s="1433"/>
      <c r="D562" s="1433"/>
      <c r="E562" s="1433"/>
      <c r="F562" s="1433"/>
      <c r="G562" s="1433"/>
      <c r="H562" s="1433"/>
      <c r="I562" s="1433"/>
      <c r="J562" s="488"/>
      <c r="K562" s="560"/>
      <c r="L562" s="560"/>
      <c r="M562" s="1052">
        <f>SUM(M561,M558,M554,M551,M544,M523,M504,M481,M461,M441,M426,M403,M381,M368,M352,M339,M315,M289,M260,M227,M197,M173,M150,M125,M101,M79,M53,M49,M19)</f>
        <v>4915139000.316921</v>
      </c>
    </row>
    <row r="563" spans="2:10" ht="12.75">
      <c r="B563" s="561"/>
      <c r="C563" s="1177"/>
      <c r="D563" s="562"/>
      <c r="E563" s="562"/>
      <c r="F563" s="562"/>
      <c r="G563" s="562"/>
      <c r="H563" s="562"/>
      <c r="I563" s="562"/>
      <c r="J563" s="563"/>
    </row>
    <row r="564" spans="2:10" ht="12.75">
      <c r="B564" s="561"/>
      <c r="C564" s="1177"/>
      <c r="D564" s="562"/>
      <c r="E564" s="562"/>
      <c r="F564" s="562"/>
      <c r="G564" s="562"/>
      <c r="H564" s="562"/>
      <c r="I564" s="562"/>
      <c r="J564" s="563"/>
    </row>
    <row r="565" spans="2:10" ht="12.75">
      <c r="B565" s="561"/>
      <c r="C565" s="1177"/>
      <c r="D565" s="562"/>
      <c r="E565" s="562"/>
      <c r="F565" s="562"/>
      <c r="G565" s="562"/>
      <c r="H565" s="562"/>
      <c r="I565" s="562"/>
      <c r="J565" s="563"/>
    </row>
    <row r="566" spans="2:10" ht="12.75">
      <c r="B566" s="561"/>
      <c r="C566" s="1177"/>
      <c r="D566" s="562"/>
      <c r="E566" s="562"/>
      <c r="F566" s="562"/>
      <c r="G566" s="562"/>
      <c r="H566" s="562"/>
      <c r="I566" s="562"/>
      <c r="J566" s="563"/>
    </row>
    <row r="567" spans="2:10" ht="12.75">
      <c r="B567" s="561"/>
      <c r="C567" s="1177"/>
      <c r="D567" s="562"/>
      <c r="E567" s="562"/>
      <c r="F567" s="562"/>
      <c r="G567" s="562"/>
      <c r="H567" s="562"/>
      <c r="I567" s="562"/>
      <c r="J567" s="563"/>
    </row>
    <row r="568" spans="2:10" ht="12.75">
      <c r="B568" s="561"/>
      <c r="C568" s="1177"/>
      <c r="D568" s="562"/>
      <c r="E568" s="562"/>
      <c r="F568" s="562"/>
      <c r="G568" s="562"/>
      <c r="H568" s="562"/>
      <c r="I568" s="562"/>
      <c r="J568" s="563"/>
    </row>
    <row r="569" spans="2:10" ht="12.75">
      <c r="B569" s="561"/>
      <c r="C569" s="1177"/>
      <c r="D569" s="562"/>
      <c r="E569" s="562"/>
      <c r="F569" s="562"/>
      <c r="G569" s="562"/>
      <c r="H569" s="562"/>
      <c r="I569" s="562"/>
      <c r="J569" s="563"/>
    </row>
    <row r="570" spans="2:10" ht="12.75">
      <c r="B570" s="561"/>
      <c r="C570" s="1177"/>
      <c r="D570" s="562"/>
      <c r="E570" s="562"/>
      <c r="F570" s="562"/>
      <c r="G570" s="562"/>
      <c r="H570" s="562"/>
      <c r="I570" s="562"/>
      <c r="J570" s="563"/>
    </row>
    <row r="571" spans="2:10" ht="12.75">
      <c r="B571" s="561"/>
      <c r="C571" s="1177"/>
      <c r="D571" s="562"/>
      <c r="E571" s="562"/>
      <c r="F571" s="562"/>
      <c r="G571" s="562"/>
      <c r="H571" s="562"/>
      <c r="I571" s="562"/>
      <c r="J571" s="563"/>
    </row>
    <row r="572" spans="2:10" ht="12.75">
      <c r="B572" s="561"/>
      <c r="C572" s="1177"/>
      <c r="D572" s="562"/>
      <c r="E572" s="562"/>
      <c r="F572" s="562"/>
      <c r="G572" s="562"/>
      <c r="H572" s="562"/>
      <c r="I572" s="562"/>
      <c r="J572" s="563"/>
    </row>
    <row r="573" spans="2:10" ht="12.75">
      <c r="B573" s="561"/>
      <c r="C573" s="1177"/>
      <c r="D573" s="562"/>
      <c r="E573" s="562"/>
      <c r="F573" s="562"/>
      <c r="G573" s="562"/>
      <c r="H573" s="562"/>
      <c r="I573" s="562"/>
      <c r="J573" s="563"/>
    </row>
    <row r="574" spans="2:10" ht="12.75">
      <c r="B574" s="561"/>
      <c r="C574" s="1177"/>
      <c r="D574" s="562"/>
      <c r="E574" s="562"/>
      <c r="F574" s="562"/>
      <c r="G574" s="562"/>
      <c r="H574" s="562"/>
      <c r="I574" s="562"/>
      <c r="J574" s="563"/>
    </row>
    <row r="575" spans="2:10" ht="12.75">
      <c r="B575" s="561"/>
      <c r="C575" s="1177"/>
      <c r="D575" s="562"/>
      <c r="E575" s="562"/>
      <c r="F575" s="562"/>
      <c r="G575" s="562"/>
      <c r="H575" s="562"/>
      <c r="I575" s="562"/>
      <c r="J575" s="563"/>
    </row>
    <row r="576" spans="2:10" ht="12.75">
      <c r="B576" s="561"/>
      <c r="C576" s="1177"/>
      <c r="D576" s="562"/>
      <c r="E576" s="562"/>
      <c r="F576" s="562"/>
      <c r="G576" s="562"/>
      <c r="H576" s="562"/>
      <c r="I576" s="562"/>
      <c r="J576" s="563"/>
    </row>
    <row r="577" spans="2:10" ht="12.75">
      <c r="B577" s="561"/>
      <c r="C577" s="1177"/>
      <c r="D577" s="562"/>
      <c r="E577" s="562"/>
      <c r="F577" s="562"/>
      <c r="G577" s="562"/>
      <c r="H577" s="562"/>
      <c r="I577" s="562"/>
      <c r="J577" s="563"/>
    </row>
    <row r="578" spans="2:10" ht="12.75">
      <c r="B578" s="561"/>
      <c r="C578" s="1177"/>
      <c r="D578" s="562"/>
      <c r="E578" s="562"/>
      <c r="F578" s="562"/>
      <c r="G578" s="562"/>
      <c r="H578" s="562"/>
      <c r="I578" s="562"/>
      <c r="J578" s="563"/>
    </row>
    <row r="579" spans="2:10" ht="12.75">
      <c r="B579" s="561"/>
      <c r="C579" s="1177"/>
      <c r="D579" s="562"/>
      <c r="E579" s="562"/>
      <c r="F579" s="562"/>
      <c r="G579" s="562"/>
      <c r="H579" s="562"/>
      <c r="I579" s="562"/>
      <c r="J579" s="563"/>
    </row>
    <row r="580" spans="2:10" ht="12.75">
      <c r="B580" s="561"/>
      <c r="C580" s="1177"/>
      <c r="D580" s="562"/>
      <c r="E580" s="562"/>
      <c r="F580" s="562"/>
      <c r="G580" s="562"/>
      <c r="H580" s="562"/>
      <c r="I580" s="562"/>
      <c r="J580" s="563"/>
    </row>
    <row r="581" spans="2:10" ht="12.75">
      <c r="B581" s="561"/>
      <c r="C581" s="1177"/>
      <c r="D581" s="562"/>
      <c r="E581" s="562"/>
      <c r="F581" s="562"/>
      <c r="G581" s="562"/>
      <c r="H581" s="562"/>
      <c r="I581" s="562"/>
      <c r="J581" s="563"/>
    </row>
    <row r="582" spans="2:10" ht="12.75">
      <c r="B582" s="561"/>
      <c r="C582" s="1177"/>
      <c r="D582" s="562"/>
      <c r="E582" s="562"/>
      <c r="F582" s="562"/>
      <c r="G582" s="562"/>
      <c r="H582" s="562"/>
      <c r="I582" s="562"/>
      <c r="J582" s="563"/>
    </row>
    <row r="583" spans="2:10" ht="12.75">
      <c r="B583" s="561"/>
      <c r="C583" s="1177"/>
      <c r="D583" s="562"/>
      <c r="E583" s="562"/>
      <c r="F583" s="562"/>
      <c r="G583" s="562"/>
      <c r="H583" s="562"/>
      <c r="I583" s="562"/>
      <c r="J583" s="563"/>
    </row>
    <row r="584" spans="2:10" ht="12.75">
      <c r="B584" s="561"/>
      <c r="C584" s="1177"/>
      <c r="D584" s="562"/>
      <c r="E584" s="562"/>
      <c r="F584" s="562"/>
      <c r="G584" s="562"/>
      <c r="H584" s="562"/>
      <c r="I584" s="562"/>
      <c r="J584" s="563"/>
    </row>
    <row r="585" spans="2:10" ht="12.75">
      <c r="B585" s="561"/>
      <c r="C585" s="1177"/>
      <c r="D585" s="562"/>
      <c r="E585" s="562"/>
      <c r="F585" s="562"/>
      <c r="G585" s="562"/>
      <c r="H585" s="562"/>
      <c r="I585" s="562"/>
      <c r="J585" s="563"/>
    </row>
    <row r="586" spans="2:10" ht="12.75">
      <c r="B586" s="561"/>
      <c r="C586" s="1177"/>
      <c r="D586" s="562"/>
      <c r="E586" s="562"/>
      <c r="F586" s="562"/>
      <c r="G586" s="562"/>
      <c r="H586" s="562"/>
      <c r="I586" s="562"/>
      <c r="J586" s="563"/>
    </row>
    <row r="587" spans="2:10" ht="12.75">
      <c r="B587" s="561"/>
      <c r="C587" s="1177"/>
      <c r="D587" s="562"/>
      <c r="E587" s="562"/>
      <c r="F587" s="562"/>
      <c r="G587" s="562"/>
      <c r="H587" s="562"/>
      <c r="I587" s="562"/>
      <c r="J587" s="563"/>
    </row>
    <row r="588" spans="2:10" ht="12.75">
      <c r="B588" s="561"/>
      <c r="C588" s="1177"/>
      <c r="D588" s="562"/>
      <c r="E588" s="562"/>
      <c r="F588" s="562"/>
      <c r="G588" s="562"/>
      <c r="H588" s="562"/>
      <c r="I588" s="562"/>
      <c r="J588" s="563"/>
    </row>
    <row r="589" spans="2:10" ht="12.75">
      <c r="B589" s="561"/>
      <c r="C589" s="1177"/>
      <c r="D589" s="562"/>
      <c r="E589" s="562"/>
      <c r="F589" s="562"/>
      <c r="G589" s="562"/>
      <c r="H589" s="562"/>
      <c r="I589" s="562"/>
      <c r="J589" s="563"/>
    </row>
    <row r="590" spans="2:10" ht="12.75">
      <c r="B590" s="561"/>
      <c r="C590" s="1177"/>
      <c r="D590" s="562"/>
      <c r="E590" s="562"/>
      <c r="F590" s="562"/>
      <c r="G590" s="562"/>
      <c r="H590" s="562"/>
      <c r="I590" s="562"/>
      <c r="J590" s="563"/>
    </row>
    <row r="591" spans="2:10" ht="12.75">
      <c r="B591" s="561"/>
      <c r="C591" s="1177"/>
      <c r="D591" s="562"/>
      <c r="E591" s="562"/>
      <c r="F591" s="562"/>
      <c r="G591" s="562"/>
      <c r="H591" s="562"/>
      <c r="I591" s="562"/>
      <c r="J591" s="563"/>
    </row>
    <row r="592" spans="2:10" ht="12.75">
      <c r="B592" s="561"/>
      <c r="C592" s="1177"/>
      <c r="D592" s="562"/>
      <c r="E592" s="562"/>
      <c r="F592" s="562"/>
      <c r="G592" s="562"/>
      <c r="H592" s="562"/>
      <c r="I592" s="562"/>
      <c r="J592" s="563"/>
    </row>
    <row r="593" spans="2:10" ht="12.75">
      <c r="B593" s="561"/>
      <c r="C593" s="1177"/>
      <c r="D593" s="562"/>
      <c r="E593" s="562"/>
      <c r="F593" s="562"/>
      <c r="G593" s="562"/>
      <c r="H593" s="562"/>
      <c r="I593" s="562"/>
      <c r="J593" s="563"/>
    </row>
    <row r="594" spans="2:10" ht="12.75">
      <c r="B594" s="561"/>
      <c r="C594" s="1177"/>
      <c r="D594" s="562"/>
      <c r="E594" s="562"/>
      <c r="F594" s="562"/>
      <c r="G594" s="562"/>
      <c r="H594" s="562"/>
      <c r="I594" s="562"/>
      <c r="J594" s="563"/>
    </row>
    <row r="595" spans="2:10" ht="12.75">
      <c r="B595" s="561"/>
      <c r="C595" s="1177"/>
      <c r="D595" s="562"/>
      <c r="E595" s="562"/>
      <c r="F595" s="562"/>
      <c r="G595" s="562"/>
      <c r="H595" s="562"/>
      <c r="I595" s="562"/>
      <c r="J595" s="563"/>
    </row>
    <row r="596" spans="2:10" ht="12.75">
      <c r="B596" s="561"/>
      <c r="C596" s="1177"/>
      <c r="D596" s="562"/>
      <c r="E596" s="562"/>
      <c r="F596" s="562"/>
      <c r="G596" s="562"/>
      <c r="H596" s="562"/>
      <c r="I596" s="562"/>
      <c r="J596" s="563"/>
    </row>
    <row r="597" spans="2:10" ht="12.75">
      <c r="B597" s="561"/>
      <c r="C597" s="1177"/>
      <c r="D597" s="562"/>
      <c r="E597" s="562"/>
      <c r="F597" s="562"/>
      <c r="G597" s="562"/>
      <c r="H597" s="562"/>
      <c r="I597" s="562"/>
      <c r="J597" s="563"/>
    </row>
    <row r="598" spans="2:10" ht="12.75">
      <c r="B598" s="561"/>
      <c r="C598" s="1177"/>
      <c r="D598" s="562"/>
      <c r="E598" s="562"/>
      <c r="F598" s="562"/>
      <c r="G598" s="562"/>
      <c r="H598" s="562"/>
      <c r="I598" s="562"/>
      <c r="J598" s="563"/>
    </row>
    <row r="599" spans="2:10" ht="12.75">
      <c r="B599" s="561"/>
      <c r="C599" s="1177"/>
      <c r="D599" s="562"/>
      <c r="E599" s="562"/>
      <c r="F599" s="562"/>
      <c r="G599" s="562"/>
      <c r="H599" s="562"/>
      <c r="I599" s="562"/>
      <c r="J599" s="563"/>
    </row>
    <row r="600" spans="2:10" ht="12.75">
      <c r="B600" s="561"/>
      <c r="C600" s="1177"/>
      <c r="D600" s="562"/>
      <c r="E600" s="562"/>
      <c r="F600" s="562"/>
      <c r="G600" s="562"/>
      <c r="H600" s="562"/>
      <c r="I600" s="562"/>
      <c r="J600" s="563"/>
    </row>
    <row r="601" spans="2:10" ht="12.75">
      <c r="B601" s="561"/>
      <c r="C601" s="1177"/>
      <c r="D601" s="562"/>
      <c r="E601" s="562"/>
      <c r="F601" s="562"/>
      <c r="G601" s="562"/>
      <c r="H601" s="562"/>
      <c r="I601" s="562"/>
      <c r="J601" s="563"/>
    </row>
    <row r="602" spans="2:10" ht="12.75">
      <c r="B602" s="561"/>
      <c r="C602" s="1177"/>
      <c r="D602" s="562"/>
      <c r="E602" s="562"/>
      <c r="F602" s="562"/>
      <c r="G602" s="562"/>
      <c r="H602" s="562"/>
      <c r="I602" s="562"/>
      <c r="J602" s="563"/>
    </row>
    <row r="603" spans="2:10" ht="12.75">
      <c r="B603" s="561"/>
      <c r="C603" s="1177"/>
      <c r="D603" s="562"/>
      <c r="E603" s="562"/>
      <c r="F603" s="562"/>
      <c r="G603" s="562"/>
      <c r="H603" s="562"/>
      <c r="I603" s="562"/>
      <c r="J603" s="563"/>
    </row>
    <row r="604" spans="2:10" ht="12.75">
      <c r="B604" s="561"/>
      <c r="C604" s="1177"/>
      <c r="D604" s="562"/>
      <c r="E604" s="562"/>
      <c r="F604" s="562"/>
      <c r="G604" s="562"/>
      <c r="H604" s="562"/>
      <c r="I604" s="562"/>
      <c r="J604" s="563"/>
    </row>
    <row r="605" spans="2:10" ht="12.75">
      <c r="B605" s="561"/>
      <c r="C605" s="1177"/>
      <c r="D605" s="562"/>
      <c r="E605" s="562"/>
      <c r="F605" s="562"/>
      <c r="G605" s="562"/>
      <c r="H605" s="562"/>
      <c r="I605" s="562"/>
      <c r="J605" s="563"/>
    </row>
    <row r="606" spans="2:10" ht="12.75">
      <c r="B606" s="561"/>
      <c r="C606" s="1177"/>
      <c r="D606" s="562"/>
      <c r="E606" s="562"/>
      <c r="F606" s="562"/>
      <c r="G606" s="562"/>
      <c r="H606" s="562"/>
      <c r="I606" s="562"/>
      <c r="J606" s="563"/>
    </row>
    <row r="607" spans="2:10" ht="12.75">
      <c r="B607" s="561"/>
      <c r="C607" s="1177"/>
      <c r="D607" s="562"/>
      <c r="E607" s="562"/>
      <c r="F607" s="562"/>
      <c r="G607" s="562"/>
      <c r="H607" s="562"/>
      <c r="I607" s="562"/>
      <c r="J607" s="563"/>
    </row>
    <row r="608" spans="2:10" ht="12.75">
      <c r="B608" s="561"/>
      <c r="C608" s="1177"/>
      <c r="D608" s="562"/>
      <c r="E608" s="562"/>
      <c r="F608" s="562"/>
      <c r="G608" s="562"/>
      <c r="H608" s="562"/>
      <c r="I608" s="562"/>
      <c r="J608" s="563"/>
    </row>
    <row r="609" spans="2:10" ht="12.75">
      <c r="B609" s="561"/>
      <c r="C609" s="1177"/>
      <c r="D609" s="562"/>
      <c r="E609" s="562"/>
      <c r="F609" s="562"/>
      <c r="G609" s="562"/>
      <c r="H609" s="562"/>
      <c r="I609" s="562"/>
      <c r="J609" s="563"/>
    </row>
    <row r="610" spans="2:10" ht="12.75">
      <c r="B610" s="561"/>
      <c r="C610" s="1177"/>
      <c r="D610" s="562"/>
      <c r="E610" s="562"/>
      <c r="F610" s="562"/>
      <c r="G610" s="562"/>
      <c r="H610" s="562"/>
      <c r="I610" s="562"/>
      <c r="J610" s="563"/>
    </row>
    <row r="611" spans="2:10" ht="12.75">
      <c r="B611" s="561"/>
      <c r="C611" s="1177"/>
      <c r="D611" s="562"/>
      <c r="E611" s="562"/>
      <c r="F611" s="562"/>
      <c r="G611" s="562"/>
      <c r="H611" s="562"/>
      <c r="I611" s="562"/>
      <c r="J611" s="563"/>
    </row>
    <row r="612" spans="2:10" ht="12.75">
      <c r="B612" s="561"/>
      <c r="C612" s="1177"/>
      <c r="D612" s="562"/>
      <c r="E612" s="562"/>
      <c r="F612" s="562"/>
      <c r="G612" s="562"/>
      <c r="H612" s="562"/>
      <c r="I612" s="562"/>
      <c r="J612" s="563"/>
    </row>
    <row r="613" spans="2:10" ht="12.75">
      <c r="B613" s="561"/>
      <c r="C613" s="1177"/>
      <c r="D613" s="562"/>
      <c r="E613" s="562"/>
      <c r="F613" s="562"/>
      <c r="G613" s="562"/>
      <c r="H613" s="562"/>
      <c r="I613" s="562"/>
      <c r="J613" s="563"/>
    </row>
    <row r="614" spans="2:10" ht="12.75">
      <c r="B614" s="561"/>
      <c r="C614" s="1177"/>
      <c r="D614" s="562"/>
      <c r="E614" s="562"/>
      <c r="F614" s="562"/>
      <c r="G614" s="562"/>
      <c r="H614" s="562"/>
      <c r="I614" s="562"/>
      <c r="J614" s="563"/>
    </row>
    <row r="615" spans="2:10" ht="12.75">
      <c r="B615" s="561"/>
      <c r="C615" s="1177"/>
      <c r="D615" s="562"/>
      <c r="E615" s="562"/>
      <c r="F615" s="562"/>
      <c r="G615" s="562"/>
      <c r="H615" s="562"/>
      <c r="I615" s="562"/>
      <c r="J615" s="563"/>
    </row>
    <row r="616" spans="2:10" ht="12.75">
      <c r="B616" s="561"/>
      <c r="C616" s="1177"/>
      <c r="D616" s="562"/>
      <c r="E616" s="562"/>
      <c r="F616" s="562"/>
      <c r="G616" s="562"/>
      <c r="H616" s="562"/>
      <c r="I616" s="562"/>
      <c r="J616" s="563"/>
    </row>
    <row r="617" spans="2:10" ht="12.75">
      <c r="B617" s="561"/>
      <c r="C617" s="1177"/>
      <c r="D617" s="562"/>
      <c r="E617" s="562"/>
      <c r="F617" s="562"/>
      <c r="G617" s="562"/>
      <c r="H617" s="562"/>
      <c r="I617" s="562"/>
      <c r="J617" s="563"/>
    </row>
    <row r="618" spans="2:10" ht="12.75">
      <c r="B618" s="561"/>
      <c r="C618" s="1177"/>
      <c r="D618" s="562"/>
      <c r="E618" s="562"/>
      <c r="F618" s="562"/>
      <c r="G618" s="562"/>
      <c r="H618" s="562"/>
      <c r="I618" s="562"/>
      <c r="J618" s="563"/>
    </row>
    <row r="619" spans="2:10" ht="12.75">
      <c r="B619" s="561"/>
      <c r="C619" s="1177"/>
      <c r="D619" s="562"/>
      <c r="E619" s="562"/>
      <c r="F619" s="562"/>
      <c r="G619" s="562"/>
      <c r="H619" s="562"/>
      <c r="I619" s="562"/>
      <c r="J619" s="563"/>
    </row>
    <row r="620" spans="2:10" ht="12.75">
      <c r="B620" s="561"/>
      <c r="C620" s="1177"/>
      <c r="D620" s="562"/>
      <c r="E620" s="562"/>
      <c r="F620" s="562"/>
      <c r="G620" s="562"/>
      <c r="H620" s="562"/>
      <c r="I620" s="562"/>
      <c r="J620" s="563"/>
    </row>
    <row r="621" spans="2:10" ht="12.75">
      <c r="B621" s="561"/>
      <c r="C621" s="1177"/>
      <c r="D621" s="562"/>
      <c r="E621" s="562"/>
      <c r="F621" s="562"/>
      <c r="G621" s="562"/>
      <c r="H621" s="562"/>
      <c r="I621" s="562"/>
      <c r="J621" s="563"/>
    </row>
    <row r="622" spans="2:10" ht="12.75">
      <c r="B622" s="561"/>
      <c r="C622" s="1177"/>
      <c r="D622" s="562"/>
      <c r="E622" s="562"/>
      <c r="F622" s="562"/>
      <c r="G622" s="562"/>
      <c r="H622" s="562"/>
      <c r="I622" s="562"/>
      <c r="J622" s="563"/>
    </row>
    <row r="623" spans="2:10" ht="12.75">
      <c r="B623" s="561"/>
      <c r="C623" s="1177"/>
      <c r="D623" s="562"/>
      <c r="E623" s="562"/>
      <c r="F623" s="562"/>
      <c r="G623" s="562"/>
      <c r="H623" s="562"/>
      <c r="I623" s="562"/>
      <c r="J623" s="563"/>
    </row>
    <row r="624" spans="2:10" ht="12.75">
      <c r="B624" s="561"/>
      <c r="C624" s="1177"/>
      <c r="D624" s="562"/>
      <c r="E624" s="562"/>
      <c r="F624" s="562"/>
      <c r="G624" s="562"/>
      <c r="H624" s="562"/>
      <c r="I624" s="562"/>
      <c r="J624" s="563"/>
    </row>
    <row r="625" spans="2:10" ht="12.75">
      <c r="B625" s="561"/>
      <c r="C625" s="1177"/>
      <c r="D625" s="562"/>
      <c r="E625" s="562"/>
      <c r="F625" s="562"/>
      <c r="G625" s="562"/>
      <c r="H625" s="562"/>
      <c r="I625" s="562"/>
      <c r="J625" s="563"/>
    </row>
    <row r="626" spans="2:10" ht="12.75">
      <c r="B626" s="561"/>
      <c r="C626" s="1177"/>
      <c r="D626" s="562"/>
      <c r="E626" s="562"/>
      <c r="F626" s="562"/>
      <c r="G626" s="562"/>
      <c r="H626" s="562"/>
      <c r="I626" s="562"/>
      <c r="J626" s="563"/>
    </row>
    <row r="627" spans="2:10" ht="12.75">
      <c r="B627" s="561"/>
      <c r="C627" s="1177"/>
      <c r="D627" s="562"/>
      <c r="E627" s="562"/>
      <c r="F627" s="562"/>
      <c r="G627" s="562"/>
      <c r="H627" s="562"/>
      <c r="I627" s="562"/>
      <c r="J627" s="563"/>
    </row>
    <row r="628" spans="2:10" ht="12.75">
      <c r="B628" s="561"/>
      <c r="C628" s="1177"/>
      <c r="D628" s="562"/>
      <c r="E628" s="562"/>
      <c r="F628" s="562"/>
      <c r="G628" s="562"/>
      <c r="H628" s="562"/>
      <c r="I628" s="562"/>
      <c r="J628" s="563"/>
    </row>
    <row r="629" spans="2:10" ht="12.75">
      <c r="B629" s="561"/>
      <c r="C629" s="1177"/>
      <c r="D629" s="562"/>
      <c r="E629" s="562"/>
      <c r="F629" s="562"/>
      <c r="G629" s="562"/>
      <c r="H629" s="562"/>
      <c r="I629" s="562"/>
      <c r="J629" s="563"/>
    </row>
    <row r="630" spans="2:10" ht="12.75">
      <c r="B630" s="561"/>
      <c r="C630" s="1177"/>
      <c r="D630" s="562"/>
      <c r="E630" s="562"/>
      <c r="F630" s="562"/>
      <c r="G630" s="562"/>
      <c r="H630" s="562"/>
      <c r="I630" s="562"/>
      <c r="J630" s="563"/>
    </row>
    <row r="631" spans="2:10" ht="12.75">
      <c r="B631" s="561"/>
      <c r="C631" s="1177"/>
      <c r="D631" s="562"/>
      <c r="E631" s="562"/>
      <c r="F631" s="562"/>
      <c r="G631" s="562"/>
      <c r="H631" s="562"/>
      <c r="I631" s="562"/>
      <c r="J631" s="563"/>
    </row>
    <row r="632" spans="2:10" ht="12.75">
      <c r="B632" s="561"/>
      <c r="C632" s="1177"/>
      <c r="D632" s="562"/>
      <c r="E632" s="562"/>
      <c r="F632" s="562"/>
      <c r="G632" s="562"/>
      <c r="H632" s="562"/>
      <c r="I632" s="562"/>
      <c r="J632" s="563"/>
    </row>
    <row r="633" spans="2:10" ht="12.75">
      <c r="B633" s="561"/>
      <c r="C633" s="1177"/>
      <c r="D633" s="562"/>
      <c r="E633" s="562"/>
      <c r="F633" s="562"/>
      <c r="G633" s="562"/>
      <c r="H633" s="562"/>
      <c r="I633" s="562"/>
      <c r="J633" s="563"/>
    </row>
    <row r="634" spans="2:10" ht="12.75">
      <c r="B634" s="561"/>
      <c r="C634" s="1177"/>
      <c r="D634" s="562"/>
      <c r="E634" s="562"/>
      <c r="F634" s="562"/>
      <c r="G634" s="562"/>
      <c r="H634" s="562"/>
      <c r="I634" s="562"/>
      <c r="J634" s="563"/>
    </row>
    <row r="635" spans="2:10" ht="12.75">
      <c r="B635" s="561"/>
      <c r="C635" s="1177"/>
      <c r="D635" s="562"/>
      <c r="E635" s="562"/>
      <c r="F635" s="562"/>
      <c r="G635" s="562"/>
      <c r="H635" s="562"/>
      <c r="I635" s="562"/>
      <c r="J635" s="563"/>
    </row>
    <row r="636" spans="2:10" ht="12.75">
      <c r="B636" s="561"/>
      <c r="C636" s="1177"/>
      <c r="D636" s="562"/>
      <c r="E636" s="562"/>
      <c r="F636" s="562"/>
      <c r="G636" s="562"/>
      <c r="H636" s="562"/>
      <c r="I636" s="562"/>
      <c r="J636" s="563"/>
    </row>
    <row r="637" spans="2:10" ht="12.75">
      <c r="B637" s="561"/>
      <c r="C637" s="1177"/>
      <c r="D637" s="562"/>
      <c r="E637" s="562"/>
      <c r="F637" s="562"/>
      <c r="G637" s="562"/>
      <c r="H637" s="562"/>
      <c r="I637" s="562"/>
      <c r="J637" s="563"/>
    </row>
    <row r="638" spans="2:10" ht="12.75">
      <c r="B638" s="561"/>
      <c r="C638" s="1177"/>
      <c r="D638" s="562"/>
      <c r="E638" s="562"/>
      <c r="F638" s="562"/>
      <c r="G638" s="562"/>
      <c r="H638" s="562"/>
      <c r="I638" s="562"/>
      <c r="J638" s="563"/>
    </row>
    <row r="639" spans="2:10" ht="12.75">
      <c r="B639" s="561"/>
      <c r="C639" s="1177"/>
      <c r="D639" s="562"/>
      <c r="E639" s="562"/>
      <c r="F639" s="562"/>
      <c r="G639" s="562"/>
      <c r="H639" s="562"/>
      <c r="I639" s="562"/>
      <c r="J639" s="563"/>
    </row>
    <row r="640" spans="2:10" ht="12.75">
      <c r="B640" s="561"/>
      <c r="C640" s="1177"/>
      <c r="D640" s="562"/>
      <c r="E640" s="562"/>
      <c r="F640" s="562"/>
      <c r="G640" s="562"/>
      <c r="H640" s="562"/>
      <c r="I640" s="562"/>
      <c r="J640" s="563"/>
    </row>
    <row r="641" spans="2:10" ht="12.75">
      <c r="B641" s="561"/>
      <c r="C641" s="1177"/>
      <c r="D641" s="562"/>
      <c r="E641" s="562"/>
      <c r="F641" s="562"/>
      <c r="G641" s="562"/>
      <c r="H641" s="562"/>
      <c r="I641" s="562"/>
      <c r="J641" s="563"/>
    </row>
    <row r="642" spans="2:10" ht="12.75">
      <c r="B642" s="561"/>
      <c r="C642" s="1177"/>
      <c r="D642" s="562"/>
      <c r="E642" s="562"/>
      <c r="F642" s="562"/>
      <c r="G642" s="562"/>
      <c r="H642" s="562"/>
      <c r="I642" s="562"/>
      <c r="J642" s="563"/>
    </row>
    <row r="643" spans="2:10" ht="12.75">
      <c r="B643" s="561"/>
      <c r="C643" s="1177"/>
      <c r="D643" s="562"/>
      <c r="E643" s="562"/>
      <c r="F643" s="562"/>
      <c r="G643" s="562"/>
      <c r="H643" s="562"/>
      <c r="I643" s="562"/>
      <c r="J643" s="563"/>
    </row>
    <row r="644" spans="2:10" ht="12.75">
      <c r="B644" s="561"/>
      <c r="C644" s="1177"/>
      <c r="D644" s="562"/>
      <c r="E644" s="562"/>
      <c r="F644" s="562"/>
      <c r="G644" s="562"/>
      <c r="H644" s="562"/>
      <c r="I644" s="562"/>
      <c r="J644" s="563"/>
    </row>
    <row r="645" spans="2:10" ht="12.75">
      <c r="B645" s="561"/>
      <c r="C645" s="1177"/>
      <c r="D645" s="562"/>
      <c r="E645" s="562"/>
      <c r="F645" s="562"/>
      <c r="G645" s="562"/>
      <c r="H645" s="562"/>
      <c r="I645" s="562"/>
      <c r="J645" s="563"/>
    </row>
    <row r="646" spans="2:10" ht="12.75">
      <c r="B646" s="561"/>
      <c r="C646" s="1177"/>
      <c r="D646" s="562"/>
      <c r="E646" s="562"/>
      <c r="F646" s="562"/>
      <c r="G646" s="562"/>
      <c r="H646" s="562"/>
      <c r="I646" s="562"/>
      <c r="J646" s="563"/>
    </row>
    <row r="647" spans="2:13" ht="25.5">
      <c r="B647" s="564" t="s">
        <v>729</v>
      </c>
      <c r="C647" s="1178"/>
      <c r="D647" s="565"/>
      <c r="E647" s="566"/>
      <c r="F647" s="566"/>
      <c r="G647" s="566"/>
      <c r="H647" s="566"/>
      <c r="I647" s="566"/>
      <c r="J647" s="567"/>
      <c r="K647" s="568"/>
      <c r="L647" s="568"/>
      <c r="M647" s="569"/>
    </row>
    <row r="648" spans="2:13" ht="12.75">
      <c r="B648" s="570" t="s">
        <v>1351</v>
      </c>
      <c r="C648" s="1179"/>
      <c r="D648" s="571"/>
      <c r="E648" s="572"/>
      <c r="F648" s="573">
        <f>SUM('[9]Bartók'!AU82:AU84)</f>
        <v>319.96000000000004</v>
      </c>
      <c r="G648" s="573"/>
      <c r="H648" s="574">
        <f>F648/12*4</f>
        <v>106.65333333333335</v>
      </c>
      <c r="I648" s="575">
        <f>ROUND(SUM(G648:H648),0)</f>
        <v>107</v>
      </c>
      <c r="J648" s="576">
        <v>84000</v>
      </c>
      <c r="K648" s="577"/>
      <c r="L648" s="577">
        <f>J648*I648</f>
        <v>8988000</v>
      </c>
      <c r="M648" s="578">
        <f>SUM(K648:L648)</f>
        <v>8988000</v>
      </c>
    </row>
    <row r="649" spans="2:13" ht="12.75">
      <c r="B649" s="579" t="s">
        <v>329</v>
      </c>
      <c r="C649" s="1180"/>
      <c r="D649" s="580" t="s">
        <v>330</v>
      </c>
      <c r="E649" s="581">
        <f>SUM(E648:E648)</f>
        <v>0</v>
      </c>
      <c r="F649" s="581">
        <f>SUM(F648:F648)</f>
        <v>319.96000000000004</v>
      </c>
      <c r="G649" s="581">
        <f>SUM(G648:G648)</f>
        <v>0</v>
      </c>
      <c r="H649" s="581">
        <f>SUM(H648:H648)</f>
        <v>106.65333333333335</v>
      </c>
      <c r="I649" s="582">
        <f>SUM(I648:I648)</f>
        <v>107</v>
      </c>
      <c r="J649" s="583" t="s">
        <v>730</v>
      </c>
      <c r="K649" s="581">
        <f>SUM(K648:K648)</f>
        <v>0</v>
      </c>
      <c r="L649" s="581">
        <f>SUM(L648:L648)</f>
        <v>8988000</v>
      </c>
      <c r="M649" s="584">
        <f>SUM(M648:M648)</f>
        <v>8988000</v>
      </c>
    </row>
    <row r="650" spans="2:13" ht="12.75">
      <c r="B650" s="585" t="s">
        <v>731</v>
      </c>
      <c r="C650" s="1181"/>
      <c r="D650" s="565"/>
      <c r="E650" s="586"/>
      <c r="F650" s="586">
        <f>SUM('[9]Szandaszőlősi'!AU88:AU90)</f>
        <v>344</v>
      </c>
      <c r="G650" s="586"/>
      <c r="H650" s="587">
        <f>F650/12*4</f>
        <v>114.66666666666667</v>
      </c>
      <c r="I650" s="575">
        <f>SUM(G650:H650)</f>
        <v>114.66666666666667</v>
      </c>
      <c r="J650" s="531">
        <v>32000</v>
      </c>
      <c r="K650" s="588"/>
      <c r="L650" s="588">
        <f>J650*I650</f>
        <v>3669333.3333333335</v>
      </c>
      <c r="M650" s="589">
        <f>ROUND($I$655/SUM($I$650:$I$654)*J650*I650,0)</f>
        <v>3667479</v>
      </c>
    </row>
    <row r="651" spans="2:13" ht="12.75">
      <c r="B651" s="590" t="s">
        <v>732</v>
      </c>
      <c r="C651" s="1182"/>
      <c r="D651" s="591"/>
      <c r="E651" s="592"/>
      <c r="F651" s="587">
        <f>SUM('[9]Kodály'!AU88:AU90)</f>
        <v>70.66</v>
      </c>
      <c r="G651" s="592"/>
      <c r="H651" s="587">
        <f>F651/12*4</f>
        <v>23.55333333333333</v>
      </c>
      <c r="I651" s="575">
        <f>SUM(G651:H651)</f>
        <v>23.55333333333333</v>
      </c>
      <c r="J651" s="593">
        <v>32000</v>
      </c>
      <c r="K651" s="594"/>
      <c r="L651" s="595">
        <f>J651*I651</f>
        <v>753706.6666666666</v>
      </c>
      <c r="M651" s="589">
        <f>ROUND($I$655/SUM($I$650:$I$654)*J651*I651,0)</f>
        <v>753326</v>
      </c>
    </row>
    <row r="652" spans="2:13" ht="12.75">
      <c r="B652" s="570" t="s">
        <v>1351</v>
      </c>
      <c r="C652" s="1183"/>
      <c r="D652" s="591"/>
      <c r="E652" s="592"/>
      <c r="F652" s="573">
        <f>SUM('[9]Bartók'!AU88:AU90)</f>
        <v>14.66</v>
      </c>
      <c r="G652" s="592"/>
      <c r="H652" s="587">
        <f>F652/12*4</f>
        <v>4.886666666666667</v>
      </c>
      <c r="I652" s="575">
        <f>SUM(G652:H652)</f>
        <v>4.886666666666667</v>
      </c>
      <c r="J652" s="593">
        <v>32000</v>
      </c>
      <c r="K652" s="594"/>
      <c r="L652" s="595">
        <f>J652*I652</f>
        <v>156373.33333333334</v>
      </c>
      <c r="M652" s="589">
        <f>ROUND($I$655/SUM($I$650:$I$654)*J652*I652,0)</f>
        <v>156294</v>
      </c>
    </row>
    <row r="653" spans="2:13" ht="12.75">
      <c r="B653" s="596" t="s">
        <v>733</v>
      </c>
      <c r="C653" s="1184"/>
      <c r="D653" s="597"/>
      <c r="E653" s="587"/>
      <c r="F653" s="587">
        <f>SUM('[9]Mátyás'!AU88:AU90)</f>
        <v>139</v>
      </c>
      <c r="G653" s="587"/>
      <c r="H653" s="587">
        <f>F653/12*4</f>
        <v>46.333333333333336</v>
      </c>
      <c r="I653" s="575">
        <f>SUM(G653:H653)</f>
        <v>46.333333333333336</v>
      </c>
      <c r="J653" s="593">
        <v>32000</v>
      </c>
      <c r="K653" s="595"/>
      <c r="L653" s="595">
        <f>J653*I653</f>
        <v>1482666.6666666667</v>
      </c>
      <c r="M653" s="589">
        <f>ROUND($I$655/SUM($I$650:$I$654)*J653*I653,0)</f>
        <v>1481918</v>
      </c>
    </row>
    <row r="654" spans="2:13" ht="12.75">
      <c r="B654" s="598" t="s">
        <v>734</v>
      </c>
      <c r="C654" s="1185"/>
      <c r="D654" s="599"/>
      <c r="E654" s="600"/>
      <c r="F654" s="600">
        <f>SUM('[9]Kőrösi'!AU88:AU90)</f>
        <v>65</v>
      </c>
      <c r="G654" s="600"/>
      <c r="H654" s="600">
        <f>F654/12*4</f>
        <v>21.666666666666668</v>
      </c>
      <c r="I654" s="575">
        <f>SUM(G654:H654)</f>
        <v>21.666666666666668</v>
      </c>
      <c r="J654" s="517">
        <v>32000</v>
      </c>
      <c r="K654" s="601"/>
      <c r="L654" s="601">
        <f>J654*I654</f>
        <v>693333.3333333334</v>
      </c>
      <c r="M654" s="589">
        <f>ROUND($I$655/SUM($I$650:$I$654)*J654*I654,0)</f>
        <v>692983</v>
      </c>
    </row>
    <row r="655" spans="2:13" ht="25.5">
      <c r="B655" s="579" t="s">
        <v>368</v>
      </c>
      <c r="C655" s="1180"/>
      <c r="D655" s="580" t="s">
        <v>369</v>
      </c>
      <c r="E655" s="581">
        <f>SUM(E650:E654)</f>
        <v>0</v>
      </c>
      <c r="F655" s="581">
        <f>SUM(F650:F654)</f>
        <v>633.3199999999999</v>
      </c>
      <c r="G655" s="581">
        <f>SUM(G650:G654)</f>
        <v>0</v>
      </c>
      <c r="H655" s="581">
        <f>SUM(H650:H654)</f>
        <v>211.10666666666665</v>
      </c>
      <c r="I655" s="582">
        <f>ROUND(SUM(I650:I654),0)</f>
        <v>211</v>
      </c>
      <c r="J655" s="583" t="s">
        <v>730</v>
      </c>
      <c r="K655" s="581">
        <f>SUM(K650:K654)</f>
        <v>0</v>
      </c>
      <c r="L655" s="581">
        <f>SUM(L650:L654)</f>
        <v>6755413.333333333</v>
      </c>
      <c r="M655" s="602">
        <f>I655*J654</f>
        <v>6752000</v>
      </c>
    </row>
    <row r="656" spans="2:10" ht="12.75">
      <c r="B656" s="603"/>
      <c r="C656" s="1186"/>
      <c r="D656" s="562"/>
      <c r="E656" s="562"/>
      <c r="F656" s="562"/>
      <c r="G656" s="562"/>
      <c r="H656" s="562"/>
      <c r="I656" s="562"/>
      <c r="J656" s="563"/>
    </row>
    <row r="657" spans="2:10" ht="12.75">
      <c r="B657" s="603"/>
      <c r="C657" s="1186"/>
      <c r="D657" s="562"/>
      <c r="E657" s="562"/>
      <c r="F657" s="562"/>
      <c r="G657" s="562"/>
      <c r="H657" s="562"/>
      <c r="I657" s="562"/>
      <c r="J657" s="563"/>
    </row>
    <row r="658" spans="2:10" ht="12.75">
      <c r="B658" s="603"/>
      <c r="C658" s="1186"/>
      <c r="D658" s="562"/>
      <c r="E658" s="562"/>
      <c r="F658" s="562"/>
      <c r="G658" s="562"/>
      <c r="H658" s="562"/>
      <c r="I658" s="562"/>
      <c r="J658" s="563"/>
    </row>
    <row r="659" spans="2:10" ht="12.75">
      <c r="B659" s="603"/>
      <c r="C659" s="1186"/>
      <c r="D659" s="562"/>
      <c r="E659" s="562"/>
      <c r="F659" s="562"/>
      <c r="G659" s="562"/>
      <c r="H659" s="562"/>
      <c r="I659" s="562"/>
      <c r="J659" s="563"/>
    </row>
    <row r="660" spans="2:10" ht="12.75">
      <c r="B660" s="603"/>
      <c r="C660" s="1186"/>
      <c r="D660" s="562"/>
      <c r="E660" s="562"/>
      <c r="F660" s="562"/>
      <c r="G660" s="562"/>
      <c r="H660" s="562"/>
      <c r="I660" s="562"/>
      <c r="J660" s="563"/>
    </row>
    <row r="661" spans="2:10" ht="12.75">
      <c r="B661" s="603"/>
      <c r="C661" s="1186"/>
      <c r="D661" s="562"/>
      <c r="E661" s="562"/>
      <c r="F661" s="562"/>
      <c r="G661" s="562"/>
      <c r="H661" s="562"/>
      <c r="I661" s="562"/>
      <c r="J661" s="563"/>
    </row>
    <row r="662" spans="2:10" ht="12.75">
      <c r="B662" s="603"/>
      <c r="C662" s="1186"/>
      <c r="D662" s="562"/>
      <c r="E662" s="562"/>
      <c r="F662" s="562"/>
      <c r="G662" s="562"/>
      <c r="H662" s="562"/>
      <c r="I662" s="562"/>
      <c r="J662" s="563"/>
    </row>
    <row r="663" spans="2:10" ht="12.75">
      <c r="B663" s="603"/>
      <c r="C663" s="1186"/>
      <c r="D663" s="562"/>
      <c r="E663" s="562"/>
      <c r="F663" s="562"/>
      <c r="G663" s="562"/>
      <c r="H663" s="562"/>
      <c r="I663" s="562"/>
      <c r="J663" s="563"/>
    </row>
    <row r="664" spans="2:10" ht="12.75">
      <c r="B664" s="603"/>
      <c r="C664" s="1186"/>
      <c r="D664" s="562"/>
      <c r="E664" s="562"/>
      <c r="F664" s="562"/>
      <c r="G664" s="562"/>
      <c r="H664" s="562"/>
      <c r="I664" s="562"/>
      <c r="J664" s="563"/>
    </row>
    <row r="665" spans="2:10" ht="12.75">
      <c r="B665" s="603"/>
      <c r="C665" s="1186"/>
      <c r="D665" s="562"/>
      <c r="E665" s="562"/>
      <c r="F665" s="562"/>
      <c r="G665" s="562"/>
      <c r="H665" s="562"/>
      <c r="I665" s="562"/>
      <c r="J665" s="563"/>
    </row>
    <row r="666" spans="2:10" ht="12.75">
      <c r="B666" s="603"/>
      <c r="C666" s="1186"/>
      <c r="D666" s="562"/>
      <c r="E666" s="562"/>
      <c r="F666" s="562"/>
      <c r="G666" s="562"/>
      <c r="H666" s="562"/>
      <c r="I666" s="562"/>
      <c r="J666" s="563"/>
    </row>
    <row r="667" spans="2:10" ht="12.75">
      <c r="B667" s="603"/>
      <c r="C667" s="1186"/>
      <c r="D667" s="562"/>
      <c r="E667" s="562"/>
      <c r="F667" s="562"/>
      <c r="G667" s="562"/>
      <c r="H667" s="562"/>
      <c r="I667" s="562"/>
      <c r="J667" s="563"/>
    </row>
    <row r="668" spans="2:10" ht="12.75">
      <c r="B668" s="603"/>
      <c r="C668" s="1186"/>
      <c r="D668" s="562"/>
      <c r="E668" s="562"/>
      <c r="F668" s="562"/>
      <c r="G668" s="562"/>
      <c r="H668" s="562"/>
      <c r="I668" s="562"/>
      <c r="J668" s="563"/>
    </row>
    <row r="669" spans="2:10" ht="12.75">
      <c r="B669" s="603"/>
      <c r="C669" s="1186"/>
      <c r="D669" s="562"/>
      <c r="E669" s="562"/>
      <c r="F669" s="562"/>
      <c r="G669" s="562"/>
      <c r="H669" s="562"/>
      <c r="I669" s="562"/>
      <c r="J669" s="563"/>
    </row>
    <row r="670" spans="2:10" ht="12.75">
      <c r="B670" s="603"/>
      <c r="C670" s="1186"/>
      <c r="D670" s="562"/>
      <c r="E670" s="562"/>
      <c r="F670" s="562"/>
      <c r="G670" s="562"/>
      <c r="H670" s="562"/>
      <c r="I670" s="562"/>
      <c r="J670" s="563"/>
    </row>
    <row r="671" spans="2:10" ht="12.75">
      <c r="B671" s="603"/>
      <c r="C671" s="1186"/>
      <c r="D671" s="562"/>
      <c r="E671" s="562"/>
      <c r="F671" s="562"/>
      <c r="G671" s="562"/>
      <c r="H671" s="562"/>
      <c r="I671" s="562"/>
      <c r="J671" s="563"/>
    </row>
    <row r="672" spans="2:10" ht="12.75">
      <c r="B672" s="603"/>
      <c r="C672" s="1186"/>
      <c r="D672" s="562"/>
      <c r="E672" s="562"/>
      <c r="F672" s="562"/>
      <c r="G672" s="562"/>
      <c r="H672" s="562"/>
      <c r="I672" s="562"/>
      <c r="J672" s="563"/>
    </row>
    <row r="673" spans="2:10" ht="12.75">
      <c r="B673" s="603"/>
      <c r="C673" s="1186"/>
      <c r="D673" s="562"/>
      <c r="E673" s="562"/>
      <c r="F673" s="562"/>
      <c r="G673" s="562"/>
      <c r="H673" s="562"/>
      <c r="I673" s="562"/>
      <c r="J673" s="563"/>
    </row>
    <row r="674" spans="2:10" ht="12.75">
      <c r="B674" s="603"/>
      <c r="C674" s="1186"/>
      <c r="D674" s="562"/>
      <c r="E674" s="562"/>
      <c r="F674" s="562"/>
      <c r="G674" s="562"/>
      <c r="H674" s="562"/>
      <c r="I674" s="562"/>
      <c r="J674" s="563"/>
    </row>
    <row r="675" spans="2:10" ht="12.75">
      <c r="B675" s="603"/>
      <c r="C675" s="1186"/>
      <c r="D675" s="562"/>
      <c r="E675" s="562"/>
      <c r="F675" s="562"/>
      <c r="G675" s="562"/>
      <c r="H675" s="562"/>
      <c r="I675" s="562"/>
      <c r="J675" s="563"/>
    </row>
    <row r="676" spans="2:10" ht="12.75">
      <c r="B676" s="603"/>
      <c r="C676" s="1186"/>
      <c r="D676" s="562"/>
      <c r="E676" s="562"/>
      <c r="F676" s="562"/>
      <c r="G676" s="562"/>
      <c r="H676" s="562"/>
      <c r="I676" s="562"/>
      <c r="J676" s="563"/>
    </row>
    <row r="677" spans="2:10" ht="12.75">
      <c r="B677" s="603"/>
      <c r="C677" s="1186"/>
      <c r="D677" s="562"/>
      <c r="E677" s="562"/>
      <c r="F677" s="562"/>
      <c r="G677" s="562"/>
      <c r="H677" s="562"/>
      <c r="I677" s="562"/>
      <c r="J677" s="563"/>
    </row>
    <row r="678" spans="2:10" ht="12.75">
      <c r="B678" s="603"/>
      <c r="C678" s="1186"/>
      <c r="D678" s="562"/>
      <c r="E678" s="562"/>
      <c r="F678" s="562"/>
      <c r="G678" s="562"/>
      <c r="H678" s="562"/>
      <c r="I678" s="562"/>
      <c r="J678" s="563"/>
    </row>
    <row r="679" spans="2:10" ht="12.75">
      <c r="B679" s="603"/>
      <c r="C679" s="1186"/>
      <c r="D679" s="562"/>
      <c r="E679" s="562"/>
      <c r="F679" s="562"/>
      <c r="G679" s="562"/>
      <c r="H679" s="562"/>
      <c r="I679" s="562"/>
      <c r="J679" s="563"/>
    </row>
    <row r="680" spans="2:10" ht="12.75">
      <c r="B680" s="603"/>
      <c r="C680" s="1186"/>
      <c r="D680" s="562"/>
      <c r="E680" s="562"/>
      <c r="F680" s="562"/>
      <c r="G680" s="562"/>
      <c r="H680" s="562"/>
      <c r="I680" s="562"/>
      <c r="J680" s="563"/>
    </row>
    <row r="681" spans="2:10" ht="12.75">
      <c r="B681" s="603"/>
      <c r="C681" s="1186"/>
      <c r="D681" s="562"/>
      <c r="E681" s="562"/>
      <c r="F681" s="562"/>
      <c r="G681" s="562"/>
      <c r="H681" s="562"/>
      <c r="I681" s="562"/>
      <c r="J681" s="563"/>
    </row>
    <row r="682" spans="2:10" ht="12.75">
      <c r="B682" s="603"/>
      <c r="C682" s="1186"/>
      <c r="D682" s="562"/>
      <c r="E682" s="562"/>
      <c r="F682" s="562"/>
      <c r="G682" s="562"/>
      <c r="H682" s="562"/>
      <c r="I682" s="562"/>
      <c r="J682" s="563"/>
    </row>
    <row r="683" spans="2:10" ht="12.75">
      <c r="B683" s="603"/>
      <c r="C683" s="1186"/>
      <c r="D683" s="562"/>
      <c r="E683" s="562"/>
      <c r="F683" s="562"/>
      <c r="G683" s="562"/>
      <c r="H683" s="562"/>
      <c r="I683" s="562"/>
      <c r="J683" s="563"/>
    </row>
    <row r="684" spans="2:10" ht="12.75">
      <c r="B684" s="603"/>
      <c r="C684" s="1186"/>
      <c r="D684" s="562"/>
      <c r="E684" s="562"/>
      <c r="F684" s="562"/>
      <c r="G684" s="562"/>
      <c r="H684" s="562"/>
      <c r="I684" s="562"/>
      <c r="J684" s="563"/>
    </row>
    <row r="685" spans="2:10" ht="12.75">
      <c r="B685" s="603"/>
      <c r="C685" s="1186"/>
      <c r="D685" s="562"/>
      <c r="E685" s="562"/>
      <c r="F685" s="562"/>
      <c r="G685" s="562"/>
      <c r="H685" s="562"/>
      <c r="I685" s="562"/>
      <c r="J685" s="563"/>
    </row>
    <row r="686" spans="2:10" ht="12.75">
      <c r="B686" s="603"/>
      <c r="C686" s="1186"/>
      <c r="D686" s="562"/>
      <c r="E686" s="562"/>
      <c r="F686" s="562"/>
      <c r="G686" s="562"/>
      <c r="H686" s="562"/>
      <c r="I686" s="562"/>
      <c r="J686" s="563"/>
    </row>
    <row r="687" spans="2:10" ht="12.75">
      <c r="B687" s="603"/>
      <c r="C687" s="1186"/>
      <c r="D687" s="562"/>
      <c r="E687" s="562"/>
      <c r="F687" s="562"/>
      <c r="G687" s="562"/>
      <c r="H687" s="562"/>
      <c r="I687" s="562"/>
      <c r="J687" s="563"/>
    </row>
    <row r="688" spans="2:10" ht="12.75">
      <c r="B688" s="603"/>
      <c r="C688" s="1186"/>
      <c r="D688" s="562"/>
      <c r="E688" s="562"/>
      <c r="F688" s="562"/>
      <c r="G688" s="562"/>
      <c r="H688" s="562"/>
      <c r="I688" s="562"/>
      <c r="J688" s="563"/>
    </row>
    <row r="689" spans="2:10" ht="12.75">
      <c r="B689" s="603"/>
      <c r="C689" s="1186"/>
      <c r="D689" s="562"/>
      <c r="E689" s="562"/>
      <c r="F689" s="562"/>
      <c r="G689" s="562"/>
      <c r="H689" s="562"/>
      <c r="I689" s="562"/>
      <c r="J689" s="563"/>
    </row>
    <row r="690" spans="2:10" ht="12.75">
      <c r="B690" s="603"/>
      <c r="C690" s="1186"/>
      <c r="D690" s="562"/>
      <c r="E690" s="562"/>
      <c r="F690" s="562"/>
      <c r="G690" s="562"/>
      <c r="H690" s="562"/>
      <c r="I690" s="562"/>
      <c r="J690" s="563"/>
    </row>
    <row r="691" spans="2:10" ht="12.75">
      <c r="B691" s="603"/>
      <c r="C691" s="1186"/>
      <c r="D691" s="562"/>
      <c r="E691" s="562"/>
      <c r="F691" s="562"/>
      <c r="G691" s="562"/>
      <c r="H691" s="562"/>
      <c r="I691" s="562"/>
      <c r="J691" s="563"/>
    </row>
    <row r="692" spans="2:10" ht="12.75">
      <c r="B692" s="603"/>
      <c r="C692" s="1186"/>
      <c r="D692" s="562"/>
      <c r="E692" s="562"/>
      <c r="F692" s="562"/>
      <c r="G692" s="562"/>
      <c r="H692" s="562"/>
      <c r="I692" s="562"/>
      <c r="J692" s="563"/>
    </row>
    <row r="693" spans="2:10" ht="12.75">
      <c r="B693" s="603"/>
      <c r="C693" s="1186"/>
      <c r="D693" s="562"/>
      <c r="E693" s="562"/>
      <c r="F693" s="562"/>
      <c r="G693" s="562"/>
      <c r="H693" s="562"/>
      <c r="I693" s="562"/>
      <c r="J693" s="563"/>
    </row>
    <row r="694" spans="2:10" ht="12.75">
      <c r="B694" s="603"/>
      <c r="C694" s="1186"/>
      <c r="D694" s="562"/>
      <c r="E694" s="562"/>
      <c r="F694" s="562"/>
      <c r="G694" s="562"/>
      <c r="H694" s="562"/>
      <c r="I694" s="562"/>
      <c r="J694" s="563"/>
    </row>
    <row r="695" spans="2:10" ht="12.75">
      <c r="B695" s="603"/>
      <c r="C695" s="1186"/>
      <c r="D695" s="562"/>
      <c r="E695" s="562"/>
      <c r="F695" s="562"/>
      <c r="G695" s="562"/>
      <c r="H695" s="562"/>
      <c r="I695" s="562"/>
      <c r="J695" s="563"/>
    </row>
    <row r="696" spans="2:10" ht="12.75">
      <c r="B696" s="603"/>
      <c r="C696" s="1186"/>
      <c r="D696" s="562"/>
      <c r="E696" s="562"/>
      <c r="F696" s="562"/>
      <c r="G696" s="562"/>
      <c r="H696" s="562"/>
      <c r="I696" s="562"/>
      <c r="J696" s="563"/>
    </row>
    <row r="697" spans="2:10" ht="12.75">
      <c r="B697" s="603"/>
      <c r="C697" s="1186"/>
      <c r="D697" s="562"/>
      <c r="E697" s="562"/>
      <c r="F697" s="562"/>
      <c r="G697" s="562"/>
      <c r="H697" s="562"/>
      <c r="I697" s="562"/>
      <c r="J697" s="563"/>
    </row>
    <row r="698" spans="2:10" ht="12.75">
      <c r="B698" s="603"/>
      <c r="C698" s="1186"/>
      <c r="D698" s="562"/>
      <c r="E698" s="562"/>
      <c r="F698" s="562"/>
      <c r="G698" s="562"/>
      <c r="H698" s="562"/>
      <c r="I698" s="562"/>
      <c r="J698" s="563"/>
    </row>
    <row r="699" spans="2:10" ht="12.75">
      <c r="B699" s="603"/>
      <c r="C699" s="1186"/>
      <c r="D699" s="562"/>
      <c r="E699" s="562"/>
      <c r="F699" s="562"/>
      <c r="G699" s="562"/>
      <c r="H699" s="562"/>
      <c r="I699" s="562"/>
      <c r="J699" s="563"/>
    </row>
    <row r="700" spans="2:10" ht="12.75">
      <c r="B700" s="603"/>
      <c r="C700" s="1186"/>
      <c r="D700" s="562"/>
      <c r="E700" s="562"/>
      <c r="F700" s="562"/>
      <c r="G700" s="562"/>
      <c r="H700" s="562"/>
      <c r="I700" s="562"/>
      <c r="J700" s="563"/>
    </row>
    <row r="701" spans="2:10" ht="12.75">
      <c r="B701" s="603"/>
      <c r="C701" s="1186"/>
      <c r="D701" s="562"/>
      <c r="E701" s="562"/>
      <c r="F701" s="562"/>
      <c r="G701" s="562"/>
      <c r="H701" s="562"/>
      <c r="I701" s="562"/>
      <c r="J701" s="563"/>
    </row>
    <row r="702" spans="2:10" ht="12.75">
      <c r="B702" s="603"/>
      <c r="C702" s="1186"/>
      <c r="D702" s="562"/>
      <c r="E702" s="562"/>
      <c r="F702" s="562"/>
      <c r="G702" s="562"/>
      <c r="H702" s="562"/>
      <c r="I702" s="562"/>
      <c r="J702" s="563"/>
    </row>
    <row r="703" spans="2:10" ht="12.75">
      <c r="B703" s="603"/>
      <c r="C703" s="1186"/>
      <c r="D703" s="562"/>
      <c r="E703" s="562"/>
      <c r="F703" s="562"/>
      <c r="G703" s="562"/>
      <c r="H703" s="562"/>
      <c r="I703" s="562"/>
      <c r="J703" s="563"/>
    </row>
    <row r="704" spans="2:10" ht="12.75">
      <c r="B704" s="603"/>
      <c r="C704" s="1186"/>
      <c r="D704" s="562"/>
      <c r="E704" s="562"/>
      <c r="F704" s="562"/>
      <c r="G704" s="562"/>
      <c r="H704" s="562"/>
      <c r="I704" s="562"/>
      <c r="J704" s="563"/>
    </row>
    <row r="705" spans="2:10" ht="12.75">
      <c r="B705" s="603"/>
      <c r="C705" s="1186"/>
      <c r="D705" s="562"/>
      <c r="E705" s="562"/>
      <c r="F705" s="562"/>
      <c r="G705" s="562"/>
      <c r="H705" s="562"/>
      <c r="I705" s="562"/>
      <c r="J705" s="563"/>
    </row>
    <row r="706" spans="2:10" ht="12.75">
      <c r="B706" s="603"/>
      <c r="C706" s="1186"/>
      <c r="D706" s="562"/>
      <c r="E706" s="562"/>
      <c r="F706" s="562"/>
      <c r="G706" s="562"/>
      <c r="H706" s="562"/>
      <c r="I706" s="562"/>
      <c r="J706" s="563"/>
    </row>
    <row r="707" spans="2:10" ht="12.75">
      <c r="B707" s="603"/>
      <c r="C707" s="1186"/>
      <c r="D707" s="562"/>
      <c r="E707" s="562"/>
      <c r="F707" s="562"/>
      <c r="G707" s="562"/>
      <c r="H707" s="562"/>
      <c r="I707" s="562"/>
      <c r="J707" s="563"/>
    </row>
    <row r="708" spans="2:10" ht="12.75">
      <c r="B708" s="603"/>
      <c r="C708" s="1186"/>
      <c r="D708" s="562"/>
      <c r="E708" s="562"/>
      <c r="F708" s="562"/>
      <c r="G708" s="562"/>
      <c r="H708" s="562"/>
      <c r="I708" s="562"/>
      <c r="J708" s="563"/>
    </row>
    <row r="709" spans="2:10" ht="12.75">
      <c r="B709" s="603"/>
      <c r="C709" s="1186"/>
      <c r="D709" s="562"/>
      <c r="E709" s="562"/>
      <c r="F709" s="562"/>
      <c r="G709" s="562"/>
      <c r="H709" s="562"/>
      <c r="I709" s="562"/>
      <c r="J709" s="563"/>
    </row>
    <row r="710" spans="2:10" ht="12.75">
      <c r="B710" s="603"/>
      <c r="C710" s="1186"/>
      <c r="D710" s="562"/>
      <c r="E710" s="562"/>
      <c r="F710" s="562"/>
      <c r="G710" s="562"/>
      <c r="H710" s="562"/>
      <c r="I710" s="562"/>
      <c r="J710" s="563"/>
    </row>
    <row r="711" spans="2:10" ht="12.75">
      <c r="B711" s="603"/>
      <c r="C711" s="1186"/>
      <c r="D711" s="562"/>
      <c r="E711" s="562"/>
      <c r="F711" s="562"/>
      <c r="G711" s="562"/>
      <c r="H711" s="562"/>
      <c r="I711" s="562"/>
      <c r="J711" s="563"/>
    </row>
    <row r="712" spans="2:10" ht="12.75">
      <c r="B712" s="603"/>
      <c r="C712" s="1186"/>
      <c r="D712" s="562"/>
      <c r="E712" s="562"/>
      <c r="F712" s="562"/>
      <c r="G712" s="562"/>
      <c r="H712" s="562"/>
      <c r="I712" s="562"/>
      <c r="J712" s="563"/>
    </row>
    <row r="713" spans="2:10" ht="12.75">
      <c r="B713" s="603"/>
      <c r="C713" s="1186"/>
      <c r="D713" s="562"/>
      <c r="E713" s="562"/>
      <c r="F713" s="562"/>
      <c r="G713" s="562"/>
      <c r="H713" s="562"/>
      <c r="I713" s="562"/>
      <c r="J713" s="563"/>
    </row>
    <row r="714" spans="2:10" ht="12.75">
      <c r="B714" s="603"/>
      <c r="C714" s="1186"/>
      <c r="D714" s="562"/>
      <c r="E714" s="562"/>
      <c r="F714" s="562"/>
      <c r="G714" s="562"/>
      <c r="H714" s="562"/>
      <c r="I714" s="562"/>
      <c r="J714" s="563"/>
    </row>
    <row r="715" spans="2:10" ht="12.75">
      <c r="B715" s="603"/>
      <c r="C715" s="1186"/>
      <c r="D715" s="562"/>
      <c r="E715" s="562"/>
      <c r="F715" s="562"/>
      <c r="G715" s="562"/>
      <c r="H715" s="562"/>
      <c r="I715" s="562"/>
      <c r="J715" s="563"/>
    </row>
    <row r="716" spans="2:10" ht="12.75">
      <c r="B716" s="603"/>
      <c r="C716" s="1186"/>
      <c r="D716" s="562"/>
      <c r="E716" s="562"/>
      <c r="F716" s="562"/>
      <c r="G716" s="562"/>
      <c r="H716" s="562"/>
      <c r="I716" s="562"/>
      <c r="J716" s="563"/>
    </row>
    <row r="717" spans="2:10" ht="12.75">
      <c r="B717" s="603"/>
      <c r="C717" s="1186"/>
      <c r="D717" s="562"/>
      <c r="E717" s="562"/>
      <c r="F717" s="562"/>
      <c r="G717" s="562"/>
      <c r="H717" s="562"/>
      <c r="I717" s="562"/>
      <c r="J717" s="563"/>
    </row>
    <row r="718" spans="2:10" ht="12.75">
      <c r="B718" s="603"/>
      <c r="C718" s="1186"/>
      <c r="D718" s="562"/>
      <c r="E718" s="562"/>
      <c r="F718" s="562"/>
      <c r="G718" s="562"/>
      <c r="H718" s="562"/>
      <c r="I718" s="562"/>
      <c r="J718" s="563"/>
    </row>
    <row r="719" spans="2:10" ht="12.75">
      <c r="B719" s="603"/>
      <c r="C719" s="1186"/>
      <c r="D719" s="562"/>
      <c r="E719" s="562"/>
      <c r="F719" s="562"/>
      <c r="G719" s="562"/>
      <c r="H719" s="562"/>
      <c r="I719" s="562"/>
      <c r="J719" s="563"/>
    </row>
    <row r="720" spans="2:10" ht="12.75">
      <c r="B720" s="603"/>
      <c r="C720" s="1186"/>
      <c r="D720" s="562"/>
      <c r="E720" s="562"/>
      <c r="F720" s="562"/>
      <c r="G720" s="562"/>
      <c r="H720" s="562"/>
      <c r="I720" s="562"/>
      <c r="J720" s="563"/>
    </row>
    <row r="721" spans="2:10" ht="12.75">
      <c r="B721" s="603"/>
      <c r="C721" s="1186"/>
      <c r="D721" s="562"/>
      <c r="E721" s="562"/>
      <c r="F721" s="562"/>
      <c r="G721" s="562"/>
      <c r="H721" s="562"/>
      <c r="I721" s="562"/>
      <c r="J721" s="563"/>
    </row>
    <row r="722" spans="2:10" ht="12.75">
      <c r="B722" s="603"/>
      <c r="C722" s="1186"/>
      <c r="D722" s="562"/>
      <c r="E722" s="562"/>
      <c r="F722" s="562"/>
      <c r="G722" s="562"/>
      <c r="H722" s="562"/>
      <c r="I722" s="562"/>
      <c r="J722" s="563"/>
    </row>
    <row r="723" spans="2:10" ht="12.75">
      <c r="B723" s="603"/>
      <c r="C723" s="1186"/>
      <c r="D723" s="562"/>
      <c r="E723" s="562"/>
      <c r="F723" s="562"/>
      <c r="G723" s="562"/>
      <c r="H723" s="562"/>
      <c r="I723" s="562"/>
      <c r="J723" s="563"/>
    </row>
    <row r="724" spans="2:10" ht="12.75">
      <c r="B724" s="603"/>
      <c r="C724" s="1186"/>
      <c r="D724" s="562"/>
      <c r="E724" s="562"/>
      <c r="F724" s="562"/>
      <c r="G724" s="562"/>
      <c r="H724" s="562"/>
      <c r="I724" s="562"/>
      <c r="J724" s="563"/>
    </row>
    <row r="725" spans="2:10" ht="12.75">
      <c r="B725" s="603"/>
      <c r="C725" s="1186"/>
      <c r="D725" s="562"/>
      <c r="E725" s="562"/>
      <c r="F725" s="562"/>
      <c r="G725" s="562"/>
      <c r="H725" s="562"/>
      <c r="I725" s="562"/>
      <c r="J725" s="563"/>
    </row>
    <row r="726" spans="2:10" ht="12.75">
      <c r="B726" s="603"/>
      <c r="C726" s="1186"/>
      <c r="D726" s="562"/>
      <c r="E726" s="562"/>
      <c r="F726" s="562"/>
      <c r="G726" s="562"/>
      <c r="H726" s="562"/>
      <c r="I726" s="562"/>
      <c r="J726" s="563"/>
    </row>
    <row r="727" spans="2:10" ht="12.75">
      <c r="B727" s="603"/>
      <c r="C727" s="1186"/>
      <c r="D727" s="562"/>
      <c r="E727" s="562"/>
      <c r="F727" s="562"/>
      <c r="G727" s="562"/>
      <c r="H727" s="562"/>
      <c r="I727" s="562"/>
      <c r="J727" s="563"/>
    </row>
    <row r="728" spans="2:10" ht="12.75">
      <c r="B728" s="603"/>
      <c r="C728" s="1186"/>
      <c r="D728" s="562"/>
      <c r="E728" s="562"/>
      <c r="F728" s="562"/>
      <c r="G728" s="562"/>
      <c r="H728" s="562"/>
      <c r="I728" s="562"/>
      <c r="J728" s="563"/>
    </row>
    <row r="729" spans="2:10" ht="12.75">
      <c r="B729" s="603"/>
      <c r="C729" s="1186"/>
      <c r="D729" s="562"/>
      <c r="E729" s="562"/>
      <c r="F729" s="562"/>
      <c r="G729" s="562"/>
      <c r="H729" s="562"/>
      <c r="I729" s="562"/>
      <c r="J729" s="563"/>
    </row>
    <row r="730" spans="2:10" ht="12.75">
      <c r="B730" s="603"/>
      <c r="C730" s="1186"/>
      <c r="D730" s="562"/>
      <c r="E730" s="562"/>
      <c r="F730" s="562"/>
      <c r="G730" s="562"/>
      <c r="H730" s="562"/>
      <c r="I730" s="562"/>
      <c r="J730" s="563"/>
    </row>
    <row r="731" spans="2:10" ht="12.75">
      <c r="B731" s="603"/>
      <c r="C731" s="1186"/>
      <c r="D731" s="562"/>
      <c r="E731" s="562"/>
      <c r="F731" s="562"/>
      <c r="G731" s="562"/>
      <c r="H731" s="562"/>
      <c r="I731" s="562"/>
      <c r="J731" s="563"/>
    </row>
    <row r="732" spans="2:10" ht="12.75">
      <c r="B732" s="603"/>
      <c r="C732" s="1186"/>
      <c r="D732" s="562"/>
      <c r="E732" s="562"/>
      <c r="F732" s="562"/>
      <c r="G732" s="562"/>
      <c r="H732" s="562"/>
      <c r="I732" s="562"/>
      <c r="J732" s="563"/>
    </row>
    <row r="733" spans="2:10" ht="12.75">
      <c r="B733" s="603"/>
      <c r="C733" s="1186"/>
      <c r="D733" s="562"/>
      <c r="E733" s="562"/>
      <c r="F733" s="562"/>
      <c r="G733" s="562"/>
      <c r="H733" s="562"/>
      <c r="I733" s="562"/>
      <c r="J733" s="563"/>
    </row>
    <row r="734" spans="2:10" ht="12.75">
      <c r="B734" s="603"/>
      <c r="C734" s="1186"/>
      <c r="D734" s="562"/>
      <c r="E734" s="562"/>
      <c r="F734" s="562"/>
      <c r="G734" s="562"/>
      <c r="H734" s="562"/>
      <c r="I734" s="562"/>
      <c r="J734" s="563"/>
    </row>
    <row r="735" spans="2:10" ht="12.75">
      <c r="B735" s="603"/>
      <c r="C735" s="1186"/>
      <c r="D735" s="562"/>
      <c r="E735" s="562"/>
      <c r="F735" s="562"/>
      <c r="G735" s="562"/>
      <c r="H735" s="562"/>
      <c r="I735" s="562"/>
      <c r="J735" s="563"/>
    </row>
    <row r="736" spans="2:10" ht="12.75">
      <c r="B736" s="603"/>
      <c r="C736" s="1186"/>
      <c r="D736" s="562"/>
      <c r="E736" s="562"/>
      <c r="F736" s="562"/>
      <c r="G736" s="562"/>
      <c r="H736" s="562"/>
      <c r="I736" s="562"/>
      <c r="J736" s="563"/>
    </row>
    <row r="737" spans="2:10" ht="12.75">
      <c r="B737" s="603"/>
      <c r="C737" s="1186"/>
      <c r="D737" s="562"/>
      <c r="E737" s="562"/>
      <c r="F737" s="562"/>
      <c r="G737" s="562"/>
      <c r="H737" s="562"/>
      <c r="I737" s="562"/>
      <c r="J737" s="563"/>
    </row>
    <row r="738" spans="2:10" ht="12.75">
      <c r="B738" s="603"/>
      <c r="C738" s="1186"/>
      <c r="D738" s="562"/>
      <c r="E738" s="562"/>
      <c r="F738" s="562"/>
      <c r="G738" s="562"/>
      <c r="H738" s="562"/>
      <c r="I738" s="562"/>
      <c r="J738" s="563"/>
    </row>
    <row r="739" spans="2:10" ht="12.75">
      <c r="B739" s="603"/>
      <c r="C739" s="1186"/>
      <c r="D739" s="562"/>
      <c r="E739" s="562"/>
      <c r="F739" s="562"/>
      <c r="G739" s="562"/>
      <c r="H739" s="562"/>
      <c r="I739" s="562"/>
      <c r="J739" s="563"/>
    </row>
    <row r="740" spans="2:10" ht="12.75">
      <c r="B740" s="603"/>
      <c r="C740" s="1186"/>
      <c r="D740" s="562"/>
      <c r="E740" s="562"/>
      <c r="F740" s="562"/>
      <c r="G740" s="562"/>
      <c r="H740" s="562"/>
      <c r="I740" s="562"/>
      <c r="J740" s="563"/>
    </row>
    <row r="741" spans="2:10" ht="12.75">
      <c r="B741" s="603"/>
      <c r="C741" s="1186"/>
      <c r="D741" s="562"/>
      <c r="E741" s="562"/>
      <c r="F741" s="562"/>
      <c r="G741" s="562"/>
      <c r="H741" s="562"/>
      <c r="I741" s="562"/>
      <c r="J741" s="563"/>
    </row>
    <row r="742" spans="2:10" ht="12.75">
      <c r="B742" s="603"/>
      <c r="C742" s="1186"/>
      <c r="D742" s="562"/>
      <c r="E742" s="562"/>
      <c r="F742" s="562"/>
      <c r="G742" s="562"/>
      <c r="H742" s="562"/>
      <c r="I742" s="562"/>
      <c r="J742" s="563"/>
    </row>
    <row r="743" spans="2:10" ht="12.75">
      <c r="B743" s="603"/>
      <c r="C743" s="1186"/>
      <c r="D743" s="562"/>
      <c r="E743" s="562"/>
      <c r="F743" s="562"/>
      <c r="G743" s="562"/>
      <c r="H743" s="562"/>
      <c r="I743" s="562"/>
      <c r="J743" s="563"/>
    </row>
    <row r="744" spans="2:10" ht="12.75">
      <c r="B744" s="603"/>
      <c r="C744" s="1186"/>
      <c r="D744" s="562"/>
      <c r="E744" s="562"/>
      <c r="F744" s="562"/>
      <c r="G744" s="562"/>
      <c r="H744" s="562"/>
      <c r="I744" s="562"/>
      <c r="J744" s="563"/>
    </row>
    <row r="745" spans="2:10" ht="12.75">
      <c r="B745" s="603"/>
      <c r="C745" s="1186"/>
      <c r="D745" s="562"/>
      <c r="E745" s="562"/>
      <c r="F745" s="562"/>
      <c r="G745" s="562"/>
      <c r="H745" s="562"/>
      <c r="I745" s="562"/>
      <c r="J745" s="563"/>
    </row>
    <row r="746" spans="2:10" ht="12.75">
      <c r="B746" s="603"/>
      <c r="C746" s="1186"/>
      <c r="D746" s="562"/>
      <c r="E746" s="562"/>
      <c r="F746" s="562"/>
      <c r="G746" s="562"/>
      <c r="H746" s="562"/>
      <c r="I746" s="562"/>
      <c r="J746" s="563"/>
    </row>
    <row r="747" spans="2:10" ht="12.75">
      <c r="B747" s="603"/>
      <c r="C747" s="1186"/>
      <c r="D747" s="562"/>
      <c r="E747" s="562"/>
      <c r="F747" s="562"/>
      <c r="G747" s="562"/>
      <c r="H747" s="562"/>
      <c r="I747" s="562"/>
      <c r="J747" s="563"/>
    </row>
    <row r="748" spans="2:10" ht="12.75">
      <c r="B748" s="603"/>
      <c r="C748" s="1186"/>
      <c r="D748" s="562"/>
      <c r="E748" s="562"/>
      <c r="F748" s="562"/>
      <c r="G748" s="562"/>
      <c r="H748" s="562"/>
      <c r="I748" s="562"/>
      <c r="J748" s="563"/>
    </row>
    <row r="749" spans="2:10" ht="12.75">
      <c r="B749" s="603"/>
      <c r="C749" s="1186"/>
      <c r="D749" s="562"/>
      <c r="E749" s="562"/>
      <c r="F749" s="562"/>
      <c r="G749" s="562"/>
      <c r="H749" s="562"/>
      <c r="I749" s="562"/>
      <c r="J749" s="563"/>
    </row>
    <row r="750" spans="2:10" ht="12.75">
      <c r="B750" s="603"/>
      <c r="C750" s="1186"/>
      <c r="D750" s="562"/>
      <c r="E750" s="562"/>
      <c r="F750" s="562"/>
      <c r="G750" s="562"/>
      <c r="H750" s="562"/>
      <c r="I750" s="562"/>
      <c r="J750" s="563"/>
    </row>
    <row r="751" spans="2:10" ht="12.75">
      <c r="B751" s="603"/>
      <c r="C751" s="1186"/>
      <c r="D751" s="562"/>
      <c r="E751" s="562"/>
      <c r="F751" s="562"/>
      <c r="G751" s="562"/>
      <c r="H751" s="562"/>
      <c r="I751" s="562"/>
      <c r="J751" s="563"/>
    </row>
    <row r="752" spans="2:10" ht="12.75">
      <c r="B752" s="603"/>
      <c r="C752" s="1186"/>
      <c r="D752" s="562"/>
      <c r="E752" s="562"/>
      <c r="F752" s="562"/>
      <c r="G752" s="562"/>
      <c r="H752" s="562"/>
      <c r="I752" s="562"/>
      <c r="J752" s="563"/>
    </row>
    <row r="753" spans="2:10" ht="12.75">
      <c r="B753" s="603"/>
      <c r="C753" s="1186"/>
      <c r="D753" s="562"/>
      <c r="E753" s="562"/>
      <c r="F753" s="562"/>
      <c r="G753" s="562"/>
      <c r="H753" s="562"/>
      <c r="I753" s="562"/>
      <c r="J753" s="563"/>
    </row>
    <row r="754" spans="2:10" ht="12.75">
      <c r="B754" s="603"/>
      <c r="C754" s="1186"/>
      <c r="D754" s="562"/>
      <c r="E754" s="562"/>
      <c r="F754" s="562"/>
      <c r="G754" s="562"/>
      <c r="H754" s="562"/>
      <c r="I754" s="562"/>
      <c r="J754" s="563"/>
    </row>
    <row r="755" spans="2:10" ht="12.75">
      <c r="B755" s="603"/>
      <c r="C755" s="1186"/>
      <c r="D755" s="562"/>
      <c r="E755" s="562"/>
      <c r="F755" s="562"/>
      <c r="G755" s="562"/>
      <c r="H755" s="562"/>
      <c r="I755" s="562"/>
      <c r="J755" s="563"/>
    </row>
    <row r="756" spans="2:10" ht="12.75">
      <c r="B756" s="603"/>
      <c r="C756" s="1186"/>
      <c r="D756" s="562"/>
      <c r="E756" s="562"/>
      <c r="F756" s="562"/>
      <c r="G756" s="562"/>
      <c r="H756" s="562"/>
      <c r="I756" s="562"/>
      <c r="J756" s="563"/>
    </row>
    <row r="757" spans="2:10" ht="12.75">
      <c r="B757" s="603"/>
      <c r="C757" s="1186"/>
      <c r="D757" s="562"/>
      <c r="E757" s="562"/>
      <c r="F757" s="562"/>
      <c r="G757" s="562"/>
      <c r="H757" s="562"/>
      <c r="I757" s="562"/>
      <c r="J757" s="563"/>
    </row>
    <row r="758" spans="2:10" ht="12.75">
      <c r="B758" s="603"/>
      <c r="C758" s="1186"/>
      <c r="D758" s="562"/>
      <c r="E758" s="562"/>
      <c r="F758" s="562"/>
      <c r="G758" s="562"/>
      <c r="H758" s="562"/>
      <c r="I758" s="562"/>
      <c r="J758" s="563"/>
    </row>
    <row r="759" spans="2:10" ht="12.75">
      <c r="B759" s="603"/>
      <c r="C759" s="1186"/>
      <c r="D759" s="562"/>
      <c r="E759" s="562"/>
      <c r="F759" s="562"/>
      <c r="G759" s="562"/>
      <c r="H759" s="562"/>
      <c r="I759" s="562"/>
      <c r="J759" s="563"/>
    </row>
    <row r="760" spans="2:10" ht="12.75">
      <c r="B760" s="603"/>
      <c r="C760" s="1186"/>
      <c r="D760" s="562"/>
      <c r="E760" s="562"/>
      <c r="F760" s="562"/>
      <c r="G760" s="562"/>
      <c r="H760" s="562"/>
      <c r="I760" s="562"/>
      <c r="J760" s="563"/>
    </row>
    <row r="761" spans="2:10" ht="12.75">
      <c r="B761" s="603"/>
      <c r="C761" s="1186"/>
      <c r="D761" s="562"/>
      <c r="E761" s="562"/>
      <c r="F761" s="562"/>
      <c r="G761" s="562"/>
      <c r="H761" s="562"/>
      <c r="I761" s="562"/>
      <c r="J761" s="563"/>
    </row>
    <row r="762" spans="2:10" ht="12.75">
      <c r="B762" s="603"/>
      <c r="C762" s="1186"/>
      <c r="D762" s="562"/>
      <c r="E762" s="562"/>
      <c r="F762" s="562"/>
      <c r="G762" s="562"/>
      <c r="H762" s="562"/>
      <c r="I762" s="562"/>
      <c r="J762" s="563"/>
    </row>
    <row r="763" spans="2:10" ht="12.75">
      <c r="B763" s="603"/>
      <c r="C763" s="1186"/>
      <c r="D763" s="562"/>
      <c r="E763" s="562"/>
      <c r="F763" s="562"/>
      <c r="G763" s="562"/>
      <c r="H763" s="562"/>
      <c r="I763" s="562"/>
      <c r="J763" s="563"/>
    </row>
    <row r="764" spans="2:10" ht="12.75">
      <c r="B764" s="603"/>
      <c r="C764" s="1186"/>
      <c r="D764" s="562"/>
      <c r="E764" s="562"/>
      <c r="F764" s="562"/>
      <c r="G764" s="562"/>
      <c r="H764" s="562"/>
      <c r="I764" s="562"/>
      <c r="J764" s="563"/>
    </row>
    <row r="765" spans="2:10" ht="12.75">
      <c r="B765" s="603"/>
      <c r="C765" s="1186"/>
      <c r="D765" s="562"/>
      <c r="E765" s="562"/>
      <c r="F765" s="562"/>
      <c r="G765" s="562"/>
      <c r="H765" s="562"/>
      <c r="I765" s="562"/>
      <c r="J765" s="563"/>
    </row>
    <row r="766" spans="2:10" ht="12.75">
      <c r="B766" s="603"/>
      <c r="C766" s="1186"/>
      <c r="D766" s="562"/>
      <c r="E766" s="562"/>
      <c r="F766" s="562"/>
      <c r="G766" s="562"/>
      <c r="H766" s="562"/>
      <c r="I766" s="562"/>
      <c r="J766" s="563"/>
    </row>
    <row r="767" spans="2:10" ht="12.75">
      <c r="B767" s="603"/>
      <c r="C767" s="1186"/>
      <c r="D767" s="562"/>
      <c r="E767" s="562"/>
      <c r="F767" s="562"/>
      <c r="G767" s="562"/>
      <c r="H767" s="562"/>
      <c r="I767" s="562"/>
      <c r="J767" s="563"/>
    </row>
    <row r="768" spans="2:10" ht="12.75">
      <c r="B768" s="603"/>
      <c r="C768" s="1186"/>
      <c r="D768" s="562"/>
      <c r="E768" s="562"/>
      <c r="F768" s="562"/>
      <c r="G768" s="562"/>
      <c r="H768" s="562"/>
      <c r="I768" s="562"/>
      <c r="J768" s="563"/>
    </row>
    <row r="769" spans="2:10" ht="12.75">
      <c r="B769" s="603"/>
      <c r="C769" s="1186"/>
      <c r="D769" s="562"/>
      <c r="E769" s="562"/>
      <c r="F769" s="562"/>
      <c r="G769" s="562"/>
      <c r="H769" s="562"/>
      <c r="I769" s="562"/>
      <c r="J769" s="563"/>
    </row>
    <row r="770" spans="2:10" ht="12.75">
      <c r="B770" s="603"/>
      <c r="C770" s="1186"/>
      <c r="D770" s="562"/>
      <c r="E770" s="562"/>
      <c r="F770" s="562"/>
      <c r="G770" s="562"/>
      <c r="H770" s="562"/>
      <c r="I770" s="562"/>
      <c r="J770" s="563"/>
    </row>
    <row r="771" spans="2:10" ht="12.75">
      <c r="B771" s="603"/>
      <c r="C771" s="1186"/>
      <c r="D771" s="562"/>
      <c r="E771" s="562"/>
      <c r="F771" s="562"/>
      <c r="G771" s="562"/>
      <c r="H771" s="562"/>
      <c r="I771" s="562"/>
      <c r="J771" s="563"/>
    </row>
    <row r="772" spans="2:10" ht="12.75">
      <c r="B772" s="603"/>
      <c r="C772" s="1186"/>
      <c r="D772" s="562"/>
      <c r="E772" s="562"/>
      <c r="F772" s="562"/>
      <c r="G772" s="562"/>
      <c r="H772" s="562"/>
      <c r="I772" s="562"/>
      <c r="J772" s="563"/>
    </row>
    <row r="773" spans="2:10" ht="12.75">
      <c r="B773" s="603"/>
      <c r="C773" s="1186"/>
      <c r="D773" s="562"/>
      <c r="E773" s="562"/>
      <c r="F773" s="562"/>
      <c r="G773" s="562"/>
      <c r="H773" s="562"/>
      <c r="I773" s="562"/>
      <c r="J773" s="563"/>
    </row>
    <row r="774" spans="2:10" ht="12.75">
      <c r="B774" s="603"/>
      <c r="C774" s="1186"/>
      <c r="D774" s="562"/>
      <c r="E774" s="562"/>
      <c r="F774" s="562"/>
      <c r="G774" s="562"/>
      <c r="H774" s="562"/>
      <c r="I774" s="562"/>
      <c r="J774" s="563"/>
    </row>
    <row r="775" spans="2:10" ht="12.75">
      <c r="B775" s="603"/>
      <c r="C775" s="1186"/>
      <c r="D775" s="562"/>
      <c r="E775" s="562"/>
      <c r="F775" s="562"/>
      <c r="G775" s="562"/>
      <c r="H775" s="562"/>
      <c r="I775" s="562"/>
      <c r="J775" s="563"/>
    </row>
    <row r="776" spans="2:10" ht="12.75">
      <c r="B776" s="603"/>
      <c r="C776" s="1186"/>
      <c r="D776" s="562"/>
      <c r="E776" s="562"/>
      <c r="F776" s="562"/>
      <c r="G776" s="562"/>
      <c r="H776" s="562"/>
      <c r="I776" s="562"/>
      <c r="J776" s="563"/>
    </row>
    <row r="777" spans="2:10" ht="12.75">
      <c r="B777" s="603"/>
      <c r="C777" s="1186"/>
      <c r="D777" s="562"/>
      <c r="E777" s="562"/>
      <c r="F777" s="562"/>
      <c r="G777" s="562"/>
      <c r="H777" s="562"/>
      <c r="I777" s="562"/>
      <c r="J777" s="563"/>
    </row>
    <row r="778" spans="2:10" ht="12.75">
      <c r="B778" s="603"/>
      <c r="C778" s="1186"/>
      <c r="D778" s="562"/>
      <c r="E778" s="562"/>
      <c r="F778" s="562"/>
      <c r="G778" s="562"/>
      <c r="H778" s="562"/>
      <c r="I778" s="562"/>
      <c r="J778" s="563"/>
    </row>
    <row r="779" spans="2:10" ht="12.75">
      <c r="B779" s="603"/>
      <c r="C779" s="1186"/>
      <c r="D779" s="562"/>
      <c r="E779" s="562"/>
      <c r="F779" s="562"/>
      <c r="G779" s="562"/>
      <c r="H779" s="562"/>
      <c r="I779" s="562"/>
      <c r="J779" s="563"/>
    </row>
    <row r="780" spans="2:10" ht="12.75">
      <c r="B780" s="603"/>
      <c r="C780" s="1186"/>
      <c r="D780" s="562"/>
      <c r="E780" s="562"/>
      <c r="F780" s="562"/>
      <c r="G780" s="562"/>
      <c r="H780" s="562"/>
      <c r="I780" s="562"/>
      <c r="J780" s="563"/>
    </row>
    <row r="781" spans="2:10" ht="12.75">
      <c r="B781" s="603"/>
      <c r="C781" s="1186"/>
      <c r="D781" s="562"/>
      <c r="E781" s="562"/>
      <c r="F781" s="562"/>
      <c r="G781" s="562"/>
      <c r="H781" s="562"/>
      <c r="I781" s="562"/>
      <c r="J781" s="563"/>
    </row>
    <row r="782" spans="2:10" ht="12.75">
      <c r="B782" s="603"/>
      <c r="C782" s="1186"/>
      <c r="D782" s="562"/>
      <c r="E782" s="562"/>
      <c r="F782" s="562"/>
      <c r="G782" s="562"/>
      <c r="H782" s="562"/>
      <c r="I782" s="562"/>
      <c r="J782" s="563"/>
    </row>
    <row r="783" spans="2:10" ht="12.75">
      <c r="B783" s="603"/>
      <c r="C783" s="1186"/>
      <c r="D783" s="562"/>
      <c r="E783" s="562"/>
      <c r="F783" s="562"/>
      <c r="G783" s="562"/>
      <c r="H783" s="562"/>
      <c r="I783" s="562"/>
      <c r="J783" s="563"/>
    </row>
    <row r="784" spans="2:10" ht="12.75">
      <c r="B784" s="603"/>
      <c r="C784" s="1186"/>
      <c r="D784" s="562"/>
      <c r="E784" s="562"/>
      <c r="F784" s="562"/>
      <c r="G784" s="562"/>
      <c r="H784" s="562"/>
      <c r="I784" s="562"/>
      <c r="J784" s="563"/>
    </row>
    <row r="785" spans="2:10" ht="12.75">
      <c r="B785" s="603"/>
      <c r="C785" s="1186"/>
      <c r="D785" s="562"/>
      <c r="E785" s="562"/>
      <c r="F785" s="562"/>
      <c r="G785" s="562"/>
      <c r="H785" s="562"/>
      <c r="I785" s="562"/>
      <c r="J785" s="563"/>
    </row>
    <row r="786" spans="2:10" ht="12.75">
      <c r="B786" s="603"/>
      <c r="C786" s="1186"/>
      <c r="D786" s="562"/>
      <c r="E786" s="562"/>
      <c r="F786" s="562"/>
      <c r="G786" s="562"/>
      <c r="H786" s="562"/>
      <c r="I786" s="562"/>
      <c r="J786" s="563"/>
    </row>
    <row r="787" spans="2:10" ht="12.75">
      <c r="B787" s="603"/>
      <c r="C787" s="1186"/>
      <c r="D787" s="562"/>
      <c r="E787" s="562"/>
      <c r="F787" s="562"/>
      <c r="G787" s="562"/>
      <c r="H787" s="562"/>
      <c r="I787" s="562"/>
      <c r="J787" s="563"/>
    </row>
    <row r="788" spans="2:10" ht="12.75">
      <c r="B788" s="603"/>
      <c r="C788" s="1186"/>
      <c r="D788" s="562"/>
      <c r="E788" s="562"/>
      <c r="F788" s="562"/>
      <c r="G788" s="562"/>
      <c r="H788" s="562"/>
      <c r="I788" s="562"/>
      <c r="J788" s="563"/>
    </row>
    <row r="789" spans="2:10" ht="12.75">
      <c r="B789" s="603"/>
      <c r="C789" s="1186"/>
      <c r="D789" s="562"/>
      <c r="E789" s="562"/>
      <c r="F789" s="562"/>
      <c r="G789" s="562"/>
      <c r="H789" s="562"/>
      <c r="I789" s="562"/>
      <c r="J789" s="563"/>
    </row>
    <row r="790" spans="2:10" ht="12.75">
      <c r="B790" s="603"/>
      <c r="C790" s="1186"/>
      <c r="D790" s="562"/>
      <c r="E790" s="562"/>
      <c r="F790" s="562"/>
      <c r="G790" s="562"/>
      <c r="H790" s="562"/>
      <c r="I790" s="562"/>
      <c r="J790" s="563"/>
    </row>
    <row r="791" spans="2:10" ht="12.75">
      <c r="B791" s="603"/>
      <c r="C791" s="1186"/>
      <c r="D791" s="562"/>
      <c r="E791" s="562"/>
      <c r="F791" s="562"/>
      <c r="G791" s="562"/>
      <c r="H791" s="562"/>
      <c r="I791" s="562"/>
      <c r="J791" s="563"/>
    </row>
    <row r="792" spans="2:10" ht="12.75">
      <c r="B792" s="603"/>
      <c r="C792" s="1186"/>
      <c r="D792" s="562"/>
      <c r="E792" s="562"/>
      <c r="F792" s="562"/>
      <c r="G792" s="562"/>
      <c r="H792" s="562"/>
      <c r="I792" s="562"/>
      <c r="J792" s="563"/>
    </row>
    <row r="793" spans="2:10" ht="12.75">
      <c r="B793" s="603"/>
      <c r="C793" s="1186"/>
      <c r="D793" s="562"/>
      <c r="E793" s="562"/>
      <c r="F793" s="562"/>
      <c r="G793" s="562"/>
      <c r="H793" s="562"/>
      <c r="I793" s="562"/>
      <c r="J793" s="563"/>
    </row>
    <row r="794" spans="2:10" ht="12.75">
      <c r="B794" s="603"/>
      <c r="C794" s="1186"/>
      <c r="D794" s="562"/>
      <c r="E794" s="562"/>
      <c r="F794" s="562"/>
      <c r="G794" s="562"/>
      <c r="H794" s="562"/>
      <c r="I794" s="562"/>
      <c r="J794" s="563"/>
    </row>
    <row r="795" spans="2:10" ht="12.75">
      <c r="B795" s="603"/>
      <c r="C795" s="1186"/>
      <c r="D795" s="562"/>
      <c r="E795" s="562"/>
      <c r="F795" s="562"/>
      <c r="G795" s="562"/>
      <c r="H795" s="562"/>
      <c r="I795" s="562"/>
      <c r="J795" s="563"/>
    </row>
    <row r="796" spans="2:10" ht="12.75">
      <c r="B796" s="603"/>
      <c r="C796" s="1186"/>
      <c r="D796" s="562"/>
      <c r="E796" s="562"/>
      <c r="F796" s="562"/>
      <c r="G796" s="562"/>
      <c r="H796" s="562"/>
      <c r="I796" s="562"/>
      <c r="J796" s="563"/>
    </row>
    <row r="797" spans="2:10" ht="12.75">
      <c r="B797" s="603"/>
      <c r="C797" s="1186"/>
      <c r="D797" s="562"/>
      <c r="E797" s="562"/>
      <c r="F797" s="562"/>
      <c r="G797" s="562"/>
      <c r="H797" s="562"/>
      <c r="I797" s="562"/>
      <c r="J797" s="563"/>
    </row>
    <row r="798" spans="2:10" ht="12.75">
      <c r="B798" s="603"/>
      <c r="C798" s="1186"/>
      <c r="D798" s="562"/>
      <c r="E798" s="562"/>
      <c r="F798" s="562"/>
      <c r="G798" s="562"/>
      <c r="H798" s="562"/>
      <c r="I798" s="562"/>
      <c r="J798" s="563"/>
    </row>
    <row r="799" spans="2:10" ht="12.75">
      <c r="B799" s="603"/>
      <c r="C799" s="1186"/>
      <c r="D799" s="562"/>
      <c r="E799" s="562"/>
      <c r="F799" s="562"/>
      <c r="G799" s="562"/>
      <c r="H799" s="562"/>
      <c r="I799" s="562"/>
      <c r="J799" s="563"/>
    </row>
    <row r="800" spans="2:10" ht="12.75">
      <c r="B800" s="603"/>
      <c r="C800" s="1186"/>
      <c r="D800" s="562"/>
      <c r="E800" s="562"/>
      <c r="F800" s="562"/>
      <c r="G800" s="562"/>
      <c r="H800" s="562"/>
      <c r="I800" s="562"/>
      <c r="J800" s="563"/>
    </row>
    <row r="801" spans="2:10" ht="12.75">
      <c r="B801" s="603"/>
      <c r="C801" s="1186"/>
      <c r="D801" s="562"/>
      <c r="E801" s="562"/>
      <c r="F801" s="562"/>
      <c r="G801" s="562"/>
      <c r="H801" s="562"/>
      <c r="I801" s="562"/>
      <c r="J801" s="563"/>
    </row>
    <row r="802" spans="2:10" ht="12.75">
      <c r="B802" s="603"/>
      <c r="C802" s="1186"/>
      <c r="D802" s="562"/>
      <c r="E802" s="562"/>
      <c r="F802" s="562"/>
      <c r="G802" s="562"/>
      <c r="H802" s="562"/>
      <c r="I802" s="562"/>
      <c r="J802" s="563"/>
    </row>
    <row r="803" spans="2:10" ht="12.75">
      <c r="B803" s="603"/>
      <c r="C803" s="1186"/>
      <c r="D803" s="562"/>
      <c r="E803" s="562"/>
      <c r="F803" s="562"/>
      <c r="G803" s="562"/>
      <c r="H803" s="562"/>
      <c r="I803" s="562"/>
      <c r="J803" s="563"/>
    </row>
    <row r="804" spans="2:10" ht="12.75">
      <c r="B804" s="603"/>
      <c r="C804" s="1186"/>
      <c r="D804" s="562"/>
      <c r="E804" s="562"/>
      <c r="F804" s="562"/>
      <c r="G804" s="562"/>
      <c r="H804" s="562"/>
      <c r="I804" s="562"/>
      <c r="J804" s="563"/>
    </row>
    <row r="805" spans="2:10" ht="12.75">
      <c r="B805" s="603"/>
      <c r="C805" s="1186"/>
      <c r="D805" s="562"/>
      <c r="E805" s="562"/>
      <c r="F805" s="562"/>
      <c r="G805" s="562"/>
      <c r="H805" s="562"/>
      <c r="I805" s="562"/>
      <c r="J805" s="563"/>
    </row>
    <row r="806" spans="2:10" ht="12.75">
      <c r="B806" s="603"/>
      <c r="C806" s="1186"/>
      <c r="D806" s="562"/>
      <c r="E806" s="562"/>
      <c r="F806" s="562"/>
      <c r="G806" s="562"/>
      <c r="H806" s="562"/>
      <c r="I806" s="562"/>
      <c r="J806" s="563"/>
    </row>
    <row r="807" spans="2:10" ht="12.75">
      <c r="B807" s="603"/>
      <c r="C807" s="1186"/>
      <c r="D807" s="562"/>
      <c r="E807" s="562"/>
      <c r="F807" s="562"/>
      <c r="G807" s="562"/>
      <c r="H807" s="562"/>
      <c r="I807" s="562"/>
      <c r="J807" s="563"/>
    </row>
    <row r="808" spans="2:10" ht="12.75">
      <c r="B808" s="603"/>
      <c r="C808" s="1186"/>
      <c r="D808" s="562"/>
      <c r="E808" s="562"/>
      <c r="F808" s="562"/>
      <c r="G808" s="562"/>
      <c r="H808" s="562"/>
      <c r="I808" s="562"/>
      <c r="J808" s="563"/>
    </row>
    <row r="809" spans="2:10" ht="12.75">
      <c r="B809" s="603"/>
      <c r="C809" s="1186"/>
      <c r="D809" s="562"/>
      <c r="E809" s="562"/>
      <c r="F809" s="562"/>
      <c r="G809" s="562"/>
      <c r="H809" s="562"/>
      <c r="I809" s="562"/>
      <c r="J809" s="563"/>
    </row>
    <row r="810" spans="2:10" ht="12.75">
      <c r="B810" s="603"/>
      <c r="C810" s="1186"/>
      <c r="D810" s="562"/>
      <c r="E810" s="562"/>
      <c r="F810" s="562"/>
      <c r="G810" s="562"/>
      <c r="H810" s="562"/>
      <c r="I810" s="562"/>
      <c r="J810" s="563"/>
    </row>
    <row r="811" spans="2:10" ht="12.75">
      <c r="B811" s="603"/>
      <c r="C811" s="1186"/>
      <c r="D811" s="562"/>
      <c r="E811" s="562"/>
      <c r="F811" s="562"/>
      <c r="G811" s="562"/>
      <c r="H811" s="562"/>
      <c r="I811" s="562"/>
      <c r="J811" s="563"/>
    </row>
    <row r="812" spans="2:10" ht="12.75">
      <c r="B812" s="603"/>
      <c r="C812" s="1186"/>
      <c r="D812" s="562"/>
      <c r="E812" s="562"/>
      <c r="F812" s="562"/>
      <c r="G812" s="562"/>
      <c r="H812" s="562"/>
      <c r="I812" s="562"/>
      <c r="J812" s="563"/>
    </row>
    <row r="813" spans="2:10" ht="12.75">
      <c r="B813" s="603"/>
      <c r="C813" s="1186"/>
      <c r="D813" s="562"/>
      <c r="E813" s="562"/>
      <c r="F813" s="562"/>
      <c r="G813" s="562"/>
      <c r="H813" s="562"/>
      <c r="I813" s="562"/>
      <c r="J813" s="563"/>
    </row>
    <row r="814" spans="2:10" ht="12.75">
      <c r="B814" s="603"/>
      <c r="C814" s="1186"/>
      <c r="D814" s="562"/>
      <c r="E814" s="562"/>
      <c r="F814" s="562"/>
      <c r="G814" s="562"/>
      <c r="H814" s="562"/>
      <c r="I814" s="562"/>
      <c r="J814" s="563"/>
    </row>
    <row r="815" spans="2:10" ht="12.75">
      <c r="B815" s="603"/>
      <c r="C815" s="1186"/>
      <c r="D815" s="562"/>
      <c r="E815" s="562"/>
      <c r="F815" s="562"/>
      <c r="G815" s="562"/>
      <c r="H815" s="562"/>
      <c r="I815" s="562"/>
      <c r="J815" s="563"/>
    </row>
    <row r="816" spans="2:10" ht="12.75">
      <c r="B816" s="603"/>
      <c r="C816" s="1186"/>
      <c r="D816" s="562"/>
      <c r="E816" s="562"/>
      <c r="F816" s="562"/>
      <c r="G816" s="562"/>
      <c r="H816" s="562"/>
      <c r="I816" s="562"/>
      <c r="J816" s="563"/>
    </row>
    <row r="817" spans="2:10" ht="12.75">
      <c r="B817" s="603"/>
      <c r="C817" s="1186"/>
      <c r="D817" s="562"/>
      <c r="E817" s="562"/>
      <c r="F817" s="562"/>
      <c r="G817" s="562"/>
      <c r="H817" s="562"/>
      <c r="I817" s="562"/>
      <c r="J817" s="563"/>
    </row>
    <row r="818" spans="2:10" ht="12.75">
      <c r="B818" s="603"/>
      <c r="C818" s="1186"/>
      <c r="D818" s="562"/>
      <c r="E818" s="562"/>
      <c r="F818" s="562"/>
      <c r="G818" s="562"/>
      <c r="H818" s="562"/>
      <c r="I818" s="562"/>
      <c r="J818" s="563"/>
    </row>
    <row r="819" spans="2:10" ht="12.75">
      <c r="B819" s="603"/>
      <c r="C819" s="1186"/>
      <c r="D819" s="562"/>
      <c r="E819" s="562"/>
      <c r="F819" s="562"/>
      <c r="G819" s="562"/>
      <c r="H819" s="562"/>
      <c r="I819" s="562"/>
      <c r="J819" s="563"/>
    </row>
    <row r="820" spans="2:10" ht="12.75">
      <c r="B820" s="603"/>
      <c r="C820" s="1186"/>
      <c r="D820" s="562"/>
      <c r="E820" s="562"/>
      <c r="F820" s="562"/>
      <c r="G820" s="562"/>
      <c r="H820" s="562"/>
      <c r="I820" s="562"/>
      <c r="J820" s="563"/>
    </row>
    <row r="821" spans="2:10" ht="12.75">
      <c r="B821" s="603"/>
      <c r="C821" s="1186"/>
      <c r="D821" s="562"/>
      <c r="E821" s="562"/>
      <c r="F821" s="562"/>
      <c r="G821" s="562"/>
      <c r="H821" s="562"/>
      <c r="I821" s="562"/>
      <c r="J821" s="563"/>
    </row>
    <row r="822" spans="2:10" ht="12.75">
      <c r="B822" s="603"/>
      <c r="C822" s="1186"/>
      <c r="D822" s="562"/>
      <c r="E822" s="562"/>
      <c r="F822" s="562"/>
      <c r="G822" s="562"/>
      <c r="H822" s="562"/>
      <c r="I822" s="562"/>
      <c r="J822" s="563"/>
    </row>
    <row r="823" spans="2:10" ht="12.75">
      <c r="B823" s="603"/>
      <c r="C823" s="1186"/>
      <c r="D823" s="562"/>
      <c r="E823" s="562"/>
      <c r="F823" s="562"/>
      <c r="G823" s="562"/>
      <c r="H823" s="562"/>
      <c r="I823" s="562"/>
      <c r="J823" s="563"/>
    </row>
    <row r="824" spans="2:10" ht="12.75">
      <c r="B824" s="603"/>
      <c r="C824" s="1186"/>
      <c r="D824" s="562"/>
      <c r="E824" s="562"/>
      <c r="F824" s="562"/>
      <c r="G824" s="562"/>
      <c r="H824" s="562"/>
      <c r="I824" s="562"/>
      <c r="J824" s="563"/>
    </row>
    <row r="825" spans="2:10" ht="12.75">
      <c r="B825" s="603"/>
      <c r="C825" s="1186"/>
      <c r="D825" s="562"/>
      <c r="E825" s="562"/>
      <c r="F825" s="562"/>
      <c r="G825" s="562"/>
      <c r="H825" s="562"/>
      <c r="I825" s="562"/>
      <c r="J825" s="563"/>
    </row>
    <row r="826" spans="2:10" ht="12.75">
      <c r="B826" s="603"/>
      <c r="C826" s="1186"/>
      <c r="D826" s="562"/>
      <c r="E826" s="562"/>
      <c r="F826" s="562"/>
      <c r="G826" s="562"/>
      <c r="H826" s="562"/>
      <c r="I826" s="562"/>
      <c r="J826" s="563"/>
    </row>
    <row r="827" spans="2:10" ht="12.75">
      <c r="B827" s="603"/>
      <c r="C827" s="1186"/>
      <c r="D827" s="562"/>
      <c r="E827" s="562"/>
      <c r="F827" s="562"/>
      <c r="G827" s="562"/>
      <c r="H827" s="562"/>
      <c r="I827" s="562"/>
      <c r="J827" s="563"/>
    </row>
    <row r="828" spans="2:10" ht="12.75">
      <c r="B828" s="603"/>
      <c r="C828" s="1186"/>
      <c r="D828" s="562"/>
      <c r="E828" s="562"/>
      <c r="F828" s="562"/>
      <c r="G828" s="562"/>
      <c r="H828" s="562"/>
      <c r="I828" s="562"/>
      <c r="J828" s="563"/>
    </row>
    <row r="829" spans="2:10" ht="12.75">
      <c r="B829" s="603"/>
      <c r="C829" s="1186"/>
      <c r="D829" s="562"/>
      <c r="E829" s="562"/>
      <c r="F829" s="562"/>
      <c r="G829" s="562"/>
      <c r="H829" s="562"/>
      <c r="I829" s="562"/>
      <c r="J829" s="563"/>
    </row>
    <row r="830" spans="2:10" ht="12.75">
      <c r="B830" s="603"/>
      <c r="C830" s="1186"/>
      <c r="D830" s="562"/>
      <c r="E830" s="562"/>
      <c r="F830" s="562"/>
      <c r="G830" s="562"/>
      <c r="H830" s="562"/>
      <c r="I830" s="562"/>
      <c r="J830" s="563"/>
    </row>
    <row r="831" spans="2:10" ht="12.75">
      <c r="B831" s="603"/>
      <c r="C831" s="1186"/>
      <c r="D831" s="562"/>
      <c r="E831" s="562"/>
      <c r="F831" s="562"/>
      <c r="G831" s="562"/>
      <c r="H831" s="562"/>
      <c r="I831" s="562"/>
      <c r="J831" s="563"/>
    </row>
    <row r="832" spans="2:10" ht="12.75">
      <c r="B832" s="603"/>
      <c r="C832" s="1186"/>
      <c r="D832" s="562"/>
      <c r="E832" s="562"/>
      <c r="F832" s="562"/>
      <c r="G832" s="562"/>
      <c r="H832" s="562"/>
      <c r="I832" s="562"/>
      <c r="J832" s="563"/>
    </row>
    <row r="833" spans="2:10" ht="12.75">
      <c r="B833" s="603"/>
      <c r="C833" s="1186"/>
      <c r="D833" s="562"/>
      <c r="E833" s="562"/>
      <c r="F833" s="562"/>
      <c r="G833" s="562"/>
      <c r="H833" s="562"/>
      <c r="I833" s="562"/>
      <c r="J833" s="563"/>
    </row>
    <row r="834" spans="2:10" ht="12.75">
      <c r="B834" s="603"/>
      <c r="C834" s="1186"/>
      <c r="D834" s="562"/>
      <c r="E834" s="562"/>
      <c r="F834" s="562"/>
      <c r="G834" s="562"/>
      <c r="H834" s="562"/>
      <c r="I834" s="562"/>
      <c r="J834" s="563"/>
    </row>
    <row r="835" spans="2:10" ht="12.75">
      <c r="B835" s="603"/>
      <c r="C835" s="1186"/>
      <c r="D835" s="562"/>
      <c r="E835" s="562"/>
      <c r="F835" s="562"/>
      <c r="G835" s="562"/>
      <c r="H835" s="562"/>
      <c r="I835" s="562"/>
      <c r="J835" s="563"/>
    </row>
    <row r="836" spans="2:10" ht="12.75">
      <c r="B836" s="603"/>
      <c r="C836" s="1186"/>
      <c r="D836" s="562"/>
      <c r="E836" s="562"/>
      <c r="F836" s="562"/>
      <c r="G836" s="562"/>
      <c r="H836" s="562"/>
      <c r="I836" s="562"/>
      <c r="J836" s="563"/>
    </row>
    <row r="837" spans="2:10" ht="12.75">
      <c r="B837" s="603"/>
      <c r="C837" s="1186"/>
      <c r="D837" s="562"/>
      <c r="E837" s="562"/>
      <c r="F837" s="562"/>
      <c r="G837" s="562"/>
      <c r="H837" s="562"/>
      <c r="I837" s="562"/>
      <c r="J837" s="563"/>
    </row>
    <row r="838" spans="2:10" ht="12.75">
      <c r="B838" s="603"/>
      <c r="C838" s="1186"/>
      <c r="D838" s="562"/>
      <c r="E838" s="562"/>
      <c r="F838" s="562"/>
      <c r="G838" s="562"/>
      <c r="H838" s="562"/>
      <c r="I838" s="562"/>
      <c r="J838" s="563"/>
    </row>
    <row r="839" spans="2:10" ht="12.75">
      <c r="B839" s="603"/>
      <c r="C839" s="1186"/>
      <c r="D839" s="562"/>
      <c r="E839" s="562"/>
      <c r="F839" s="562"/>
      <c r="G839" s="562"/>
      <c r="H839" s="562"/>
      <c r="I839" s="562"/>
      <c r="J839" s="563"/>
    </row>
    <row r="840" spans="2:10" ht="12.75">
      <c r="B840" s="603"/>
      <c r="C840" s="1186"/>
      <c r="D840" s="562"/>
      <c r="E840" s="562"/>
      <c r="F840" s="562"/>
      <c r="G840" s="562"/>
      <c r="H840" s="562"/>
      <c r="I840" s="562"/>
      <c r="J840" s="563"/>
    </row>
    <row r="841" spans="2:10" ht="12.75">
      <c r="B841" s="603"/>
      <c r="C841" s="1186"/>
      <c r="D841" s="562"/>
      <c r="E841" s="562"/>
      <c r="F841" s="562"/>
      <c r="G841" s="562"/>
      <c r="H841" s="562"/>
      <c r="I841" s="562"/>
      <c r="J841" s="563"/>
    </row>
    <row r="842" spans="2:10" ht="12.75">
      <c r="B842" s="603"/>
      <c r="C842" s="1186"/>
      <c r="D842" s="562"/>
      <c r="E842" s="562"/>
      <c r="F842" s="562"/>
      <c r="G842" s="562"/>
      <c r="H842" s="562"/>
      <c r="I842" s="562"/>
      <c r="J842" s="563"/>
    </row>
    <row r="843" spans="2:10" ht="12.75">
      <c r="B843" s="603"/>
      <c r="C843" s="1186"/>
      <c r="D843" s="562"/>
      <c r="E843" s="562"/>
      <c r="F843" s="562"/>
      <c r="G843" s="562"/>
      <c r="H843" s="562"/>
      <c r="I843" s="562"/>
      <c r="J843" s="563"/>
    </row>
    <row r="844" spans="2:10" ht="12.75">
      <c r="B844" s="603"/>
      <c r="C844" s="1186"/>
      <c r="D844" s="562"/>
      <c r="E844" s="562"/>
      <c r="F844" s="562"/>
      <c r="G844" s="562"/>
      <c r="H844" s="562"/>
      <c r="I844" s="562"/>
      <c r="J844" s="563"/>
    </row>
    <row r="845" spans="2:10" ht="12.75">
      <c r="B845" s="603"/>
      <c r="C845" s="1186"/>
      <c r="D845" s="562"/>
      <c r="E845" s="562"/>
      <c r="F845" s="562"/>
      <c r="G845" s="562"/>
      <c r="H845" s="562"/>
      <c r="I845" s="562"/>
      <c r="J845" s="563"/>
    </row>
    <row r="846" spans="2:10" ht="12.75">
      <c r="B846" s="603"/>
      <c r="C846" s="1186"/>
      <c r="D846" s="562"/>
      <c r="E846" s="562"/>
      <c r="F846" s="562"/>
      <c r="G846" s="562"/>
      <c r="H846" s="562"/>
      <c r="I846" s="562"/>
      <c r="J846" s="563"/>
    </row>
    <row r="847" spans="2:10" ht="12.75">
      <c r="B847" s="603"/>
      <c r="C847" s="1186"/>
      <c r="D847" s="562"/>
      <c r="E847" s="562"/>
      <c r="F847" s="562"/>
      <c r="G847" s="562"/>
      <c r="H847" s="562"/>
      <c r="I847" s="562"/>
      <c r="J847" s="563"/>
    </row>
    <row r="848" spans="2:10" ht="12.75">
      <c r="B848" s="603"/>
      <c r="C848" s="1186"/>
      <c r="D848" s="562"/>
      <c r="E848" s="562"/>
      <c r="F848" s="562"/>
      <c r="G848" s="562"/>
      <c r="H848" s="562"/>
      <c r="I848" s="562"/>
      <c r="J848" s="563"/>
    </row>
    <row r="849" spans="2:10" ht="12.75">
      <c r="B849" s="603"/>
      <c r="C849" s="1186"/>
      <c r="D849" s="562"/>
      <c r="E849" s="562"/>
      <c r="F849" s="562"/>
      <c r="G849" s="562"/>
      <c r="H849" s="562"/>
      <c r="I849" s="562"/>
      <c r="J849" s="563"/>
    </row>
    <row r="850" spans="2:10" ht="12.75">
      <c r="B850" s="603"/>
      <c r="C850" s="1186"/>
      <c r="D850" s="562"/>
      <c r="E850" s="562"/>
      <c r="F850" s="562"/>
      <c r="G850" s="562"/>
      <c r="H850" s="562"/>
      <c r="I850" s="562"/>
      <c r="J850" s="563"/>
    </row>
    <row r="851" spans="2:10" ht="12.75">
      <c r="B851" s="603"/>
      <c r="C851" s="1186"/>
      <c r="D851" s="562"/>
      <c r="E851" s="562"/>
      <c r="F851" s="562"/>
      <c r="G851" s="562"/>
      <c r="H851" s="562"/>
      <c r="I851" s="562"/>
      <c r="J851" s="563"/>
    </row>
    <row r="852" spans="2:10" ht="12.75">
      <c r="B852" s="603"/>
      <c r="C852" s="1186"/>
      <c r="D852" s="562"/>
      <c r="E852" s="562"/>
      <c r="F852" s="562"/>
      <c r="G852" s="562"/>
      <c r="H852" s="562"/>
      <c r="I852" s="562"/>
      <c r="J852" s="563"/>
    </row>
    <row r="853" spans="2:10" ht="12.75">
      <c r="B853" s="603"/>
      <c r="C853" s="1186"/>
      <c r="D853" s="562"/>
      <c r="E853" s="562"/>
      <c r="F853" s="562"/>
      <c r="G853" s="562"/>
      <c r="H853" s="562"/>
      <c r="I853" s="562"/>
      <c r="J853" s="563"/>
    </row>
    <row r="854" spans="2:10" ht="12.75">
      <c r="B854" s="603"/>
      <c r="C854" s="1186"/>
      <c r="D854" s="562"/>
      <c r="E854" s="562"/>
      <c r="F854" s="562"/>
      <c r="G854" s="562"/>
      <c r="H854" s="562"/>
      <c r="I854" s="562"/>
      <c r="J854" s="563"/>
    </row>
    <row r="855" spans="2:10" ht="12.75">
      <c r="B855" s="603"/>
      <c r="C855" s="1186"/>
      <c r="D855" s="562"/>
      <c r="E855" s="562"/>
      <c r="F855" s="562"/>
      <c r="G855" s="562"/>
      <c r="H855" s="562"/>
      <c r="I855" s="562"/>
      <c r="J855" s="563"/>
    </row>
    <row r="856" spans="2:10" ht="12.75">
      <c r="B856" s="603"/>
      <c r="C856" s="1186"/>
      <c r="D856" s="562"/>
      <c r="E856" s="562"/>
      <c r="F856" s="562"/>
      <c r="G856" s="562"/>
      <c r="H856" s="562"/>
      <c r="I856" s="562"/>
      <c r="J856" s="563"/>
    </row>
    <row r="857" spans="2:10" ht="12.75">
      <c r="B857" s="603"/>
      <c r="C857" s="1186"/>
      <c r="D857" s="562"/>
      <c r="E857" s="562"/>
      <c r="F857" s="562"/>
      <c r="G857" s="562"/>
      <c r="H857" s="562"/>
      <c r="I857" s="562"/>
      <c r="J857" s="563"/>
    </row>
    <row r="858" spans="2:10" ht="12.75">
      <c r="B858" s="603"/>
      <c r="C858" s="1186"/>
      <c r="D858" s="562"/>
      <c r="E858" s="562"/>
      <c r="F858" s="562"/>
      <c r="G858" s="562"/>
      <c r="H858" s="562"/>
      <c r="I858" s="562"/>
      <c r="J858" s="563"/>
    </row>
    <row r="859" spans="2:10" ht="12.75">
      <c r="B859" s="603"/>
      <c r="C859" s="1186"/>
      <c r="D859" s="562"/>
      <c r="E859" s="562"/>
      <c r="F859" s="562"/>
      <c r="G859" s="562"/>
      <c r="H859" s="562"/>
      <c r="I859" s="562"/>
      <c r="J859" s="563"/>
    </row>
    <row r="860" spans="2:10" ht="12.75">
      <c r="B860" s="603"/>
      <c r="C860" s="1186"/>
      <c r="D860" s="562"/>
      <c r="E860" s="562"/>
      <c r="F860" s="562"/>
      <c r="G860" s="562"/>
      <c r="H860" s="562"/>
      <c r="I860" s="562"/>
      <c r="J860" s="563"/>
    </row>
    <row r="861" spans="2:10" ht="12.75">
      <c r="B861" s="603"/>
      <c r="C861" s="1186"/>
      <c r="D861" s="562"/>
      <c r="E861" s="562"/>
      <c r="F861" s="562"/>
      <c r="G861" s="562"/>
      <c r="H861" s="562"/>
      <c r="I861" s="562"/>
      <c r="J861" s="563"/>
    </row>
    <row r="862" spans="2:10" ht="12.75">
      <c r="B862" s="603"/>
      <c r="C862" s="1186"/>
      <c r="D862" s="562"/>
      <c r="E862" s="562"/>
      <c r="F862" s="562"/>
      <c r="G862" s="562"/>
      <c r="H862" s="562"/>
      <c r="I862" s="562"/>
      <c r="J862" s="563"/>
    </row>
    <row r="863" spans="2:10" ht="12.75">
      <c r="B863" s="603"/>
      <c r="C863" s="1186"/>
      <c r="D863" s="562"/>
      <c r="E863" s="562"/>
      <c r="F863" s="562"/>
      <c r="G863" s="562"/>
      <c r="H863" s="562"/>
      <c r="I863" s="562"/>
      <c r="J863" s="563"/>
    </row>
    <row r="864" spans="2:10" ht="12.75">
      <c r="B864" s="603"/>
      <c r="C864" s="1186"/>
      <c r="D864" s="562"/>
      <c r="E864" s="562"/>
      <c r="F864" s="562"/>
      <c r="G864" s="562"/>
      <c r="H864" s="562"/>
      <c r="I864" s="562"/>
      <c r="J864" s="563"/>
    </row>
    <row r="865" spans="2:10" ht="12.75">
      <c r="B865" s="603"/>
      <c r="C865" s="1186"/>
      <c r="D865" s="562"/>
      <c r="E865" s="562"/>
      <c r="F865" s="562"/>
      <c r="G865" s="562"/>
      <c r="H865" s="562"/>
      <c r="I865" s="562"/>
      <c r="J865" s="563"/>
    </row>
    <row r="866" spans="2:10" ht="12.75">
      <c r="B866" s="603"/>
      <c r="C866" s="1186"/>
      <c r="D866" s="562"/>
      <c r="E866" s="562"/>
      <c r="F866" s="562"/>
      <c r="G866" s="562"/>
      <c r="H866" s="562"/>
      <c r="I866" s="562"/>
      <c r="J866" s="563"/>
    </row>
    <row r="867" spans="2:10" ht="12.75">
      <c r="B867" s="603"/>
      <c r="C867" s="1186"/>
      <c r="D867" s="562"/>
      <c r="E867" s="562"/>
      <c r="F867" s="562"/>
      <c r="G867" s="562"/>
      <c r="H867" s="562"/>
      <c r="I867" s="562"/>
      <c r="J867" s="563"/>
    </row>
    <row r="868" spans="2:10" ht="12.75">
      <c r="B868" s="603"/>
      <c r="C868" s="1186"/>
      <c r="D868" s="562"/>
      <c r="E868" s="562"/>
      <c r="F868" s="562"/>
      <c r="G868" s="562"/>
      <c r="H868" s="562"/>
      <c r="I868" s="562"/>
      <c r="J868" s="563"/>
    </row>
    <row r="869" spans="2:10" ht="12.75">
      <c r="B869" s="603"/>
      <c r="C869" s="1186"/>
      <c r="D869" s="562"/>
      <c r="E869" s="562"/>
      <c r="F869" s="562"/>
      <c r="G869" s="562"/>
      <c r="H869" s="562"/>
      <c r="I869" s="562"/>
      <c r="J869" s="563"/>
    </row>
    <row r="870" spans="2:10" ht="12.75">
      <c r="B870" s="603"/>
      <c r="C870" s="1186"/>
      <c r="D870" s="562"/>
      <c r="E870" s="562"/>
      <c r="F870" s="562"/>
      <c r="G870" s="562"/>
      <c r="H870" s="562"/>
      <c r="I870" s="562"/>
      <c r="J870" s="563"/>
    </row>
    <row r="871" spans="2:10" ht="12.75">
      <c r="B871" s="603"/>
      <c r="C871" s="1186"/>
      <c r="D871" s="562"/>
      <c r="E871" s="562"/>
      <c r="F871" s="562"/>
      <c r="G871" s="562"/>
      <c r="H871" s="562"/>
      <c r="I871" s="562"/>
      <c r="J871" s="563"/>
    </row>
    <row r="872" spans="2:10" ht="12.75">
      <c r="B872" s="603"/>
      <c r="C872" s="1186"/>
      <c r="D872" s="562"/>
      <c r="E872" s="562"/>
      <c r="F872" s="562"/>
      <c r="G872" s="562"/>
      <c r="H872" s="562"/>
      <c r="I872" s="562"/>
      <c r="J872" s="563"/>
    </row>
    <row r="873" spans="2:10" ht="12.75">
      <c r="B873" s="603"/>
      <c r="C873" s="1186"/>
      <c r="D873" s="562"/>
      <c r="E873" s="562"/>
      <c r="F873" s="562"/>
      <c r="G873" s="562"/>
      <c r="H873" s="562"/>
      <c r="I873" s="562"/>
      <c r="J873" s="563"/>
    </row>
    <row r="874" spans="2:10" ht="12.75">
      <c r="B874" s="603"/>
      <c r="C874" s="1186"/>
      <c r="D874" s="562"/>
      <c r="E874" s="562"/>
      <c r="F874" s="562"/>
      <c r="G874" s="562"/>
      <c r="H874" s="562"/>
      <c r="I874" s="562"/>
      <c r="J874" s="563"/>
    </row>
    <row r="875" spans="2:10" ht="12.75">
      <c r="B875" s="603"/>
      <c r="C875" s="1186"/>
      <c r="D875" s="562"/>
      <c r="E875" s="562"/>
      <c r="F875" s="562"/>
      <c r="G875" s="562"/>
      <c r="H875" s="562"/>
      <c r="I875" s="562"/>
      <c r="J875" s="563"/>
    </row>
    <row r="876" spans="2:10" ht="12.75">
      <c r="B876" s="603"/>
      <c r="C876" s="1186"/>
      <c r="D876" s="562"/>
      <c r="E876" s="562"/>
      <c r="F876" s="562"/>
      <c r="G876" s="562"/>
      <c r="H876" s="562"/>
      <c r="I876" s="562"/>
      <c r="J876" s="563"/>
    </row>
    <row r="877" spans="2:10" ht="12.75">
      <c r="B877" s="603"/>
      <c r="C877" s="1186"/>
      <c r="D877" s="562"/>
      <c r="E877" s="562"/>
      <c r="F877" s="562"/>
      <c r="G877" s="562"/>
      <c r="H877" s="562"/>
      <c r="I877" s="562"/>
      <c r="J877" s="563"/>
    </row>
    <row r="878" spans="2:10" ht="12.75">
      <c r="B878" s="603"/>
      <c r="C878" s="1186"/>
      <c r="D878" s="562"/>
      <c r="E878" s="562"/>
      <c r="F878" s="562"/>
      <c r="G878" s="562"/>
      <c r="H878" s="562"/>
      <c r="I878" s="562"/>
      <c r="J878" s="563"/>
    </row>
    <row r="879" spans="2:10" ht="12.75">
      <c r="B879" s="603"/>
      <c r="C879" s="1186"/>
      <c r="D879" s="562"/>
      <c r="E879" s="562"/>
      <c r="F879" s="562"/>
      <c r="G879" s="562"/>
      <c r="H879" s="562"/>
      <c r="I879" s="562"/>
      <c r="J879" s="563"/>
    </row>
    <row r="880" spans="2:10" ht="12.75">
      <c r="B880" s="603"/>
      <c r="C880" s="1186"/>
      <c r="D880" s="562"/>
      <c r="E880" s="562"/>
      <c r="F880" s="562"/>
      <c r="G880" s="562"/>
      <c r="H880" s="562"/>
      <c r="I880" s="562"/>
      <c r="J880" s="563"/>
    </row>
    <row r="881" spans="2:10" ht="12.75">
      <c r="B881" s="603"/>
      <c r="C881" s="1186"/>
      <c r="D881" s="562"/>
      <c r="E881" s="562"/>
      <c r="F881" s="562"/>
      <c r="G881" s="562"/>
      <c r="H881" s="562"/>
      <c r="I881" s="562"/>
      <c r="J881" s="563"/>
    </row>
    <row r="882" spans="2:10" ht="12.75">
      <c r="B882" s="603"/>
      <c r="C882" s="1186"/>
      <c r="D882" s="562"/>
      <c r="E882" s="562"/>
      <c r="F882" s="562"/>
      <c r="G882" s="562"/>
      <c r="H882" s="562"/>
      <c r="I882" s="562"/>
      <c r="J882" s="563"/>
    </row>
    <row r="883" spans="2:10" ht="12.75">
      <c r="B883" s="603"/>
      <c r="C883" s="1186"/>
      <c r="D883" s="562"/>
      <c r="E883" s="562"/>
      <c r="F883" s="562"/>
      <c r="G883" s="562"/>
      <c r="H883" s="562"/>
      <c r="I883" s="562"/>
      <c r="J883" s="563"/>
    </row>
    <row r="884" spans="2:10" ht="12.75">
      <c r="B884" s="603"/>
      <c r="C884" s="1186"/>
      <c r="D884" s="562"/>
      <c r="E884" s="562"/>
      <c r="F884" s="562"/>
      <c r="G884" s="562"/>
      <c r="H884" s="562"/>
      <c r="I884" s="562"/>
      <c r="J884" s="563"/>
    </row>
    <row r="885" spans="2:10" ht="12.75">
      <c r="B885" s="603"/>
      <c r="C885" s="1186"/>
      <c r="D885" s="562"/>
      <c r="E885" s="562"/>
      <c r="F885" s="562"/>
      <c r="G885" s="562"/>
      <c r="H885" s="562"/>
      <c r="I885" s="562"/>
      <c r="J885" s="563"/>
    </row>
    <row r="886" spans="2:10" ht="12.75">
      <c r="B886" s="603"/>
      <c r="C886" s="1186"/>
      <c r="D886" s="562"/>
      <c r="E886" s="562"/>
      <c r="F886" s="562"/>
      <c r="G886" s="562"/>
      <c r="H886" s="562"/>
      <c r="I886" s="562"/>
      <c r="J886" s="563"/>
    </row>
    <row r="887" spans="2:10" ht="12.75">
      <c r="B887" s="603"/>
      <c r="C887" s="1186"/>
      <c r="D887" s="562"/>
      <c r="E887" s="562"/>
      <c r="F887" s="562"/>
      <c r="G887" s="562"/>
      <c r="H887" s="562"/>
      <c r="I887" s="562"/>
      <c r="J887" s="563"/>
    </row>
    <row r="888" spans="2:10" ht="12.75">
      <c r="B888" s="603"/>
      <c r="C888" s="1186"/>
      <c r="D888" s="562"/>
      <c r="E888" s="562"/>
      <c r="F888" s="562"/>
      <c r="G888" s="562"/>
      <c r="H888" s="562"/>
      <c r="I888" s="562"/>
      <c r="J888" s="563"/>
    </row>
    <row r="889" spans="2:10" ht="12.75">
      <c r="B889" s="603"/>
      <c r="C889" s="1186"/>
      <c r="D889" s="562"/>
      <c r="E889" s="562"/>
      <c r="F889" s="562"/>
      <c r="G889" s="562"/>
      <c r="H889" s="562"/>
      <c r="I889" s="562"/>
      <c r="J889" s="563"/>
    </row>
    <row r="890" spans="2:10" ht="12.75">
      <c r="B890" s="603"/>
      <c r="C890" s="1186"/>
      <c r="D890" s="562"/>
      <c r="E890" s="562"/>
      <c r="F890" s="562"/>
      <c r="G890" s="562"/>
      <c r="H890" s="562"/>
      <c r="I890" s="562"/>
      <c r="J890" s="563"/>
    </row>
    <row r="891" spans="2:10" ht="12.75">
      <c r="B891" s="603"/>
      <c r="C891" s="1186"/>
      <c r="D891" s="562"/>
      <c r="E891" s="562"/>
      <c r="F891" s="562"/>
      <c r="G891" s="562"/>
      <c r="H891" s="562"/>
      <c r="I891" s="562"/>
      <c r="J891" s="563"/>
    </row>
    <row r="892" spans="2:10" ht="12.75">
      <c r="B892" s="603"/>
      <c r="C892" s="1186"/>
      <c r="D892" s="562"/>
      <c r="E892" s="562"/>
      <c r="F892" s="562"/>
      <c r="G892" s="562"/>
      <c r="H892" s="562"/>
      <c r="I892" s="562"/>
      <c r="J892" s="563"/>
    </row>
    <row r="893" spans="2:10" ht="12.75">
      <c r="B893" s="603"/>
      <c r="C893" s="1186"/>
      <c r="D893" s="562"/>
      <c r="E893" s="562"/>
      <c r="F893" s="562"/>
      <c r="G893" s="562"/>
      <c r="H893" s="562"/>
      <c r="I893" s="562"/>
      <c r="J893" s="563"/>
    </row>
    <row r="894" spans="2:10" ht="12.75">
      <c r="B894" s="603"/>
      <c r="C894" s="1186"/>
      <c r="D894" s="562"/>
      <c r="E894" s="562"/>
      <c r="F894" s="562"/>
      <c r="G894" s="562"/>
      <c r="H894" s="562"/>
      <c r="I894" s="562"/>
      <c r="J894" s="563"/>
    </row>
    <row r="895" spans="2:10" ht="12.75">
      <c r="B895" s="603"/>
      <c r="C895" s="1186"/>
      <c r="D895" s="562"/>
      <c r="E895" s="562"/>
      <c r="F895" s="562"/>
      <c r="G895" s="562"/>
      <c r="H895" s="562"/>
      <c r="I895" s="562"/>
      <c r="J895" s="563"/>
    </row>
    <row r="896" spans="2:10" ht="12.75">
      <c r="B896" s="603"/>
      <c r="C896" s="1186"/>
      <c r="D896" s="562"/>
      <c r="E896" s="562"/>
      <c r="F896" s="562"/>
      <c r="G896" s="562"/>
      <c r="H896" s="562"/>
      <c r="I896" s="562"/>
      <c r="J896" s="563"/>
    </row>
    <row r="897" spans="2:10" ht="12.75">
      <c r="B897" s="603"/>
      <c r="C897" s="1186"/>
      <c r="D897" s="562"/>
      <c r="E897" s="562"/>
      <c r="F897" s="562"/>
      <c r="G897" s="562"/>
      <c r="H897" s="562"/>
      <c r="I897" s="562"/>
      <c r="J897" s="563"/>
    </row>
    <row r="898" spans="2:10" ht="12.75">
      <c r="B898" s="603"/>
      <c r="C898" s="1186"/>
      <c r="D898" s="562"/>
      <c r="E898" s="562"/>
      <c r="F898" s="562"/>
      <c r="G898" s="562"/>
      <c r="H898" s="562"/>
      <c r="I898" s="562"/>
      <c r="J898" s="563"/>
    </row>
    <row r="899" spans="2:10" ht="12.75">
      <c r="B899" s="603"/>
      <c r="C899" s="1186"/>
      <c r="D899" s="562"/>
      <c r="E899" s="562"/>
      <c r="F899" s="562"/>
      <c r="G899" s="562"/>
      <c r="H899" s="562"/>
      <c r="I899" s="562"/>
      <c r="J899" s="563"/>
    </row>
    <row r="900" spans="2:10" ht="12.75">
      <c r="B900" s="603"/>
      <c r="C900" s="1186"/>
      <c r="D900" s="562"/>
      <c r="E900" s="562"/>
      <c r="F900" s="562"/>
      <c r="G900" s="562"/>
      <c r="H900" s="562"/>
      <c r="I900" s="562"/>
      <c r="J900" s="563"/>
    </row>
    <row r="901" spans="2:10" ht="12.75">
      <c r="B901" s="603"/>
      <c r="C901" s="1186"/>
      <c r="D901" s="562"/>
      <c r="E901" s="562"/>
      <c r="F901" s="562"/>
      <c r="G901" s="562"/>
      <c r="H901" s="562"/>
      <c r="I901" s="562"/>
      <c r="J901" s="563"/>
    </row>
    <row r="902" spans="2:10" ht="12.75">
      <c r="B902" s="603"/>
      <c r="C902" s="1186"/>
      <c r="D902" s="562"/>
      <c r="E902" s="562"/>
      <c r="F902" s="562"/>
      <c r="G902" s="562"/>
      <c r="H902" s="562"/>
      <c r="I902" s="562"/>
      <c r="J902" s="563"/>
    </row>
    <row r="903" spans="2:10" ht="12.75">
      <c r="B903" s="603"/>
      <c r="C903" s="1186"/>
      <c r="D903" s="562"/>
      <c r="E903" s="562"/>
      <c r="F903" s="562"/>
      <c r="G903" s="562"/>
      <c r="H903" s="562"/>
      <c r="I903" s="562"/>
      <c r="J903" s="563"/>
    </row>
    <row r="904" spans="2:10" ht="12.75">
      <c r="B904" s="603"/>
      <c r="C904" s="1186"/>
      <c r="D904" s="562"/>
      <c r="E904" s="562"/>
      <c r="F904" s="562"/>
      <c r="G904" s="562"/>
      <c r="H904" s="562"/>
      <c r="I904" s="562"/>
      <c r="J904" s="563"/>
    </row>
    <row r="905" spans="2:10" ht="12.75">
      <c r="B905" s="603"/>
      <c r="C905" s="1186"/>
      <c r="D905" s="562"/>
      <c r="E905" s="562"/>
      <c r="F905" s="562"/>
      <c r="G905" s="562"/>
      <c r="H905" s="562"/>
      <c r="I905" s="562"/>
      <c r="J905" s="563"/>
    </row>
    <row r="906" spans="2:10" ht="12.75">
      <c r="B906" s="603"/>
      <c r="C906" s="1186"/>
      <c r="D906" s="562"/>
      <c r="E906" s="562"/>
      <c r="F906" s="562"/>
      <c r="G906" s="562"/>
      <c r="H906" s="562"/>
      <c r="I906" s="562"/>
      <c r="J906" s="563"/>
    </row>
    <row r="907" spans="2:10" ht="12.75">
      <c r="B907" s="603"/>
      <c r="C907" s="1186"/>
      <c r="D907" s="562"/>
      <c r="E907" s="562"/>
      <c r="F907" s="562"/>
      <c r="G907" s="562"/>
      <c r="H907" s="562"/>
      <c r="I907" s="562"/>
      <c r="J907" s="563"/>
    </row>
    <row r="908" spans="2:10" ht="12.75">
      <c r="B908" s="603"/>
      <c r="C908" s="1186"/>
      <c r="D908" s="562"/>
      <c r="E908" s="562"/>
      <c r="F908" s="562"/>
      <c r="G908" s="562"/>
      <c r="H908" s="562"/>
      <c r="I908" s="562"/>
      <c r="J908" s="563"/>
    </row>
    <row r="909" spans="2:10" ht="12.75">
      <c r="B909" s="603"/>
      <c r="C909" s="1186"/>
      <c r="D909" s="562"/>
      <c r="E909" s="562"/>
      <c r="F909" s="562"/>
      <c r="G909" s="562"/>
      <c r="H909" s="562"/>
      <c r="I909" s="562"/>
      <c r="J909" s="563"/>
    </row>
    <row r="910" spans="2:10" ht="12.75">
      <c r="B910" s="603"/>
      <c r="C910" s="1186"/>
      <c r="D910" s="562"/>
      <c r="E910" s="562"/>
      <c r="F910" s="562"/>
      <c r="G910" s="562"/>
      <c r="H910" s="562"/>
      <c r="I910" s="562"/>
      <c r="J910" s="563"/>
    </row>
    <row r="911" spans="2:10" ht="12.75">
      <c r="B911" s="603"/>
      <c r="C911" s="1186"/>
      <c r="D911" s="562"/>
      <c r="E911" s="562"/>
      <c r="F911" s="562"/>
      <c r="G911" s="562"/>
      <c r="H911" s="562"/>
      <c r="I911" s="562"/>
      <c r="J911" s="563"/>
    </row>
    <row r="912" spans="2:10" ht="12.75">
      <c r="B912" s="603"/>
      <c r="C912" s="1186"/>
      <c r="D912" s="562"/>
      <c r="E912" s="562"/>
      <c r="F912" s="562"/>
      <c r="G912" s="562"/>
      <c r="H912" s="562"/>
      <c r="I912" s="562"/>
      <c r="J912" s="563"/>
    </row>
    <row r="913" spans="2:10" ht="12.75">
      <c r="B913" s="603"/>
      <c r="C913" s="1186"/>
      <c r="D913" s="562"/>
      <c r="E913" s="562"/>
      <c r="F913" s="562"/>
      <c r="G913" s="562"/>
      <c r="H913" s="562"/>
      <c r="I913" s="562"/>
      <c r="J913" s="563"/>
    </row>
    <row r="914" spans="2:10" ht="12.75">
      <c r="B914" s="603"/>
      <c r="C914" s="1186"/>
      <c r="D914" s="562"/>
      <c r="E914" s="562"/>
      <c r="F914" s="562"/>
      <c r="G914" s="562"/>
      <c r="H914" s="562"/>
      <c r="I914" s="562"/>
      <c r="J914" s="563"/>
    </row>
    <row r="915" spans="2:10" ht="12.75">
      <c r="B915" s="603"/>
      <c r="C915" s="1186"/>
      <c r="D915" s="562"/>
      <c r="E915" s="562"/>
      <c r="F915" s="562"/>
      <c r="G915" s="562"/>
      <c r="H915" s="562"/>
      <c r="I915" s="562"/>
      <c r="J915" s="563"/>
    </row>
    <row r="916" spans="2:10" ht="12.75">
      <c r="B916" s="603"/>
      <c r="C916" s="1186"/>
      <c r="D916" s="562"/>
      <c r="E916" s="562"/>
      <c r="F916" s="562"/>
      <c r="G916" s="562"/>
      <c r="H916" s="562"/>
      <c r="I916" s="562"/>
      <c r="J916" s="563"/>
    </row>
    <row r="917" spans="2:10" ht="12.75">
      <c r="B917" s="603"/>
      <c r="C917" s="1186"/>
      <c r="D917" s="562"/>
      <c r="E917" s="562"/>
      <c r="F917" s="562"/>
      <c r="G917" s="562"/>
      <c r="H917" s="562"/>
      <c r="I917" s="562"/>
      <c r="J917" s="563"/>
    </row>
    <row r="918" spans="2:10" ht="12.75">
      <c r="B918" s="603"/>
      <c r="C918" s="1186"/>
      <c r="D918" s="562"/>
      <c r="E918" s="562"/>
      <c r="F918" s="562"/>
      <c r="G918" s="562"/>
      <c r="H918" s="562"/>
      <c r="I918" s="562"/>
      <c r="J918" s="563"/>
    </row>
    <row r="919" spans="2:10" ht="12.75">
      <c r="B919" s="603"/>
      <c r="C919" s="1186"/>
      <c r="D919" s="562"/>
      <c r="E919" s="562"/>
      <c r="F919" s="562"/>
      <c r="G919" s="562"/>
      <c r="H919" s="562"/>
      <c r="I919" s="562"/>
      <c r="J919" s="563"/>
    </row>
    <row r="920" spans="2:10" ht="12.75">
      <c r="B920" s="603"/>
      <c r="C920" s="1186"/>
      <c r="D920" s="562"/>
      <c r="E920" s="562"/>
      <c r="F920" s="562"/>
      <c r="G920" s="562"/>
      <c r="H920" s="562"/>
      <c r="I920" s="562"/>
      <c r="J920" s="563"/>
    </row>
    <row r="921" spans="2:10" ht="12.75">
      <c r="B921" s="603"/>
      <c r="C921" s="1186"/>
      <c r="D921" s="562"/>
      <c r="E921" s="562"/>
      <c r="F921" s="562"/>
      <c r="G921" s="562"/>
      <c r="H921" s="562"/>
      <c r="I921" s="562"/>
      <c r="J921" s="563"/>
    </row>
    <row r="922" spans="2:10" ht="12.75">
      <c r="B922" s="603"/>
      <c r="C922" s="1186"/>
      <c r="D922" s="562"/>
      <c r="E922" s="562"/>
      <c r="F922" s="562"/>
      <c r="G922" s="562"/>
      <c r="H922" s="562"/>
      <c r="I922" s="562"/>
      <c r="J922" s="563"/>
    </row>
    <row r="923" spans="2:10" ht="12.75">
      <c r="B923" s="603"/>
      <c r="C923" s="1186"/>
      <c r="D923" s="562"/>
      <c r="E923" s="562"/>
      <c r="F923" s="562"/>
      <c r="G923" s="562"/>
      <c r="H923" s="562"/>
      <c r="I923" s="562"/>
      <c r="J923" s="563"/>
    </row>
    <row r="924" spans="2:10" ht="12.75">
      <c r="B924" s="603"/>
      <c r="C924" s="1186"/>
      <c r="D924" s="562"/>
      <c r="E924" s="562"/>
      <c r="F924" s="562"/>
      <c r="G924" s="562"/>
      <c r="H924" s="562"/>
      <c r="I924" s="562"/>
      <c r="J924" s="563"/>
    </row>
    <row r="925" spans="2:10" ht="12.75">
      <c r="B925" s="603"/>
      <c r="C925" s="1186"/>
      <c r="D925" s="562"/>
      <c r="E925" s="562"/>
      <c r="F925" s="562"/>
      <c r="G925" s="562"/>
      <c r="H925" s="562"/>
      <c r="I925" s="562"/>
      <c r="J925" s="563"/>
    </row>
    <row r="926" spans="2:10" ht="12.75">
      <c r="B926" s="603"/>
      <c r="C926" s="1186"/>
      <c r="D926" s="562"/>
      <c r="E926" s="562"/>
      <c r="F926" s="562"/>
      <c r="G926" s="562"/>
      <c r="H926" s="562"/>
      <c r="I926" s="562"/>
      <c r="J926" s="563"/>
    </row>
    <row r="927" spans="2:10" ht="12.75">
      <c r="B927" s="603"/>
      <c r="C927" s="1186"/>
      <c r="D927" s="562"/>
      <c r="E927" s="562"/>
      <c r="F927" s="562"/>
      <c r="G927" s="562"/>
      <c r="H927" s="562"/>
      <c r="I927" s="562"/>
      <c r="J927" s="563"/>
    </row>
    <row r="928" spans="2:10" ht="12.75">
      <c r="B928" s="603"/>
      <c r="C928" s="1186"/>
      <c r="D928" s="562"/>
      <c r="E928" s="562"/>
      <c r="F928" s="562"/>
      <c r="G928" s="562"/>
      <c r="H928" s="562"/>
      <c r="I928" s="562"/>
      <c r="J928" s="563"/>
    </row>
    <row r="929" spans="2:10" ht="12.75">
      <c r="B929" s="603"/>
      <c r="C929" s="1186"/>
      <c r="D929" s="562"/>
      <c r="E929" s="562"/>
      <c r="F929" s="562"/>
      <c r="G929" s="562"/>
      <c r="H929" s="562"/>
      <c r="I929" s="562"/>
      <c r="J929" s="563"/>
    </row>
    <row r="930" spans="2:10" ht="12.75">
      <c r="B930" s="603"/>
      <c r="C930" s="1186"/>
      <c r="D930" s="562"/>
      <c r="E930" s="562"/>
      <c r="F930" s="562"/>
      <c r="G930" s="562"/>
      <c r="H930" s="562"/>
      <c r="I930" s="562"/>
      <c r="J930" s="563"/>
    </row>
    <row r="931" spans="2:10" ht="12.75">
      <c r="B931" s="603"/>
      <c r="C931" s="1186"/>
      <c r="D931" s="562"/>
      <c r="E931" s="562"/>
      <c r="F931" s="562"/>
      <c r="G931" s="562"/>
      <c r="H931" s="562"/>
      <c r="I931" s="562"/>
      <c r="J931" s="563"/>
    </row>
    <row r="932" spans="2:10" ht="12.75">
      <c r="B932" s="603"/>
      <c r="C932" s="1186"/>
      <c r="D932" s="562"/>
      <c r="E932" s="562"/>
      <c r="F932" s="562"/>
      <c r="G932" s="562"/>
      <c r="H932" s="562"/>
      <c r="I932" s="562"/>
      <c r="J932" s="563"/>
    </row>
    <row r="933" spans="2:10" ht="12.75">
      <c r="B933" s="603"/>
      <c r="C933" s="1186"/>
      <c r="D933" s="562"/>
      <c r="E933" s="562"/>
      <c r="F933" s="562"/>
      <c r="G933" s="562"/>
      <c r="H933" s="562"/>
      <c r="I933" s="562"/>
      <c r="J933" s="563"/>
    </row>
    <row r="934" spans="2:10" ht="12.75">
      <c r="B934" s="603"/>
      <c r="C934" s="1186"/>
      <c r="D934" s="562"/>
      <c r="E934" s="562"/>
      <c r="F934" s="562"/>
      <c r="G934" s="562"/>
      <c r="H934" s="562"/>
      <c r="I934" s="562"/>
      <c r="J934" s="563"/>
    </row>
    <row r="935" spans="2:10" ht="12.75">
      <c r="B935" s="603"/>
      <c r="C935" s="1186"/>
      <c r="D935" s="562"/>
      <c r="E935" s="562"/>
      <c r="F935" s="562"/>
      <c r="G935" s="562"/>
      <c r="H935" s="562"/>
      <c r="I935" s="562"/>
      <c r="J935" s="563"/>
    </row>
    <row r="936" spans="2:10" ht="12.75">
      <c r="B936" s="603"/>
      <c r="C936" s="1186"/>
      <c r="D936" s="562"/>
      <c r="E936" s="562"/>
      <c r="F936" s="562"/>
      <c r="G936" s="562"/>
      <c r="H936" s="562"/>
      <c r="I936" s="562"/>
      <c r="J936" s="563"/>
    </row>
    <row r="937" spans="2:10" ht="12.75">
      <c r="B937" s="603"/>
      <c r="C937" s="1186"/>
      <c r="D937" s="562"/>
      <c r="E937" s="562"/>
      <c r="F937" s="562"/>
      <c r="G937" s="562"/>
      <c r="H937" s="562"/>
      <c r="I937" s="562"/>
      <c r="J937" s="563"/>
    </row>
    <row r="938" spans="2:10" ht="12.75">
      <c r="B938" s="603"/>
      <c r="C938" s="1186"/>
      <c r="D938" s="562"/>
      <c r="E938" s="562"/>
      <c r="F938" s="562"/>
      <c r="G938" s="562"/>
      <c r="H938" s="562"/>
      <c r="I938" s="562"/>
      <c r="J938" s="563"/>
    </row>
    <row r="939" spans="2:10" ht="12.75">
      <c r="B939" s="603"/>
      <c r="C939" s="1186"/>
      <c r="D939" s="562"/>
      <c r="E939" s="562"/>
      <c r="F939" s="562"/>
      <c r="G939" s="562"/>
      <c r="H939" s="562"/>
      <c r="I939" s="562"/>
      <c r="J939" s="563"/>
    </row>
    <row r="940" spans="2:10" ht="12.75">
      <c r="B940" s="603"/>
      <c r="C940" s="1186"/>
      <c r="D940" s="562"/>
      <c r="E940" s="562"/>
      <c r="F940" s="562"/>
      <c r="G940" s="562"/>
      <c r="H940" s="562"/>
      <c r="I940" s="562"/>
      <c r="J940" s="563"/>
    </row>
    <row r="941" spans="2:10" ht="12.75">
      <c r="B941" s="603"/>
      <c r="C941" s="1186"/>
      <c r="D941" s="562"/>
      <c r="E941" s="562"/>
      <c r="F941" s="562"/>
      <c r="G941" s="562"/>
      <c r="H941" s="562"/>
      <c r="I941" s="562"/>
      <c r="J941" s="563"/>
    </row>
    <row r="942" spans="2:10" ht="12.75">
      <c r="B942" s="603"/>
      <c r="C942" s="1186"/>
      <c r="D942" s="562"/>
      <c r="E942" s="562"/>
      <c r="F942" s="562"/>
      <c r="G942" s="562"/>
      <c r="H942" s="562"/>
      <c r="I942" s="562"/>
      <c r="J942" s="563"/>
    </row>
    <row r="943" spans="2:10" ht="12.75">
      <c r="B943" s="603"/>
      <c r="C943" s="1186"/>
      <c r="D943" s="562"/>
      <c r="E943" s="562"/>
      <c r="F943" s="562"/>
      <c r="G943" s="562"/>
      <c r="H943" s="562"/>
      <c r="I943" s="562"/>
      <c r="J943" s="563"/>
    </row>
    <row r="944" spans="2:10" ht="12.75">
      <c r="B944" s="603"/>
      <c r="C944" s="1186"/>
      <c r="D944" s="562"/>
      <c r="E944" s="562"/>
      <c r="F944" s="562"/>
      <c r="G944" s="562"/>
      <c r="H944" s="562"/>
      <c r="I944" s="562"/>
      <c r="J944" s="563"/>
    </row>
    <row r="945" spans="2:10" ht="12.75">
      <c r="B945" s="603"/>
      <c r="C945" s="1186"/>
      <c r="D945" s="562"/>
      <c r="E945" s="562"/>
      <c r="F945" s="562"/>
      <c r="G945" s="562"/>
      <c r="H945" s="562"/>
      <c r="I945" s="562"/>
      <c r="J945" s="563"/>
    </row>
    <row r="946" spans="2:10" ht="12.75">
      <c r="B946" s="603"/>
      <c r="C946" s="1186"/>
      <c r="D946" s="562"/>
      <c r="E946" s="562"/>
      <c r="F946" s="562"/>
      <c r="G946" s="562"/>
      <c r="H946" s="562"/>
      <c r="I946" s="562"/>
      <c r="J946" s="563"/>
    </row>
    <row r="947" spans="2:10" ht="12.75">
      <c r="B947" s="603"/>
      <c r="C947" s="1186"/>
      <c r="D947" s="562"/>
      <c r="E947" s="562"/>
      <c r="F947" s="562"/>
      <c r="G947" s="562"/>
      <c r="H947" s="562"/>
      <c r="I947" s="562"/>
      <c r="J947" s="563"/>
    </row>
    <row r="948" spans="2:10" ht="12.75">
      <c r="B948" s="603"/>
      <c r="C948" s="1186"/>
      <c r="D948" s="562"/>
      <c r="E948" s="562"/>
      <c r="F948" s="562"/>
      <c r="G948" s="562"/>
      <c r="H948" s="562"/>
      <c r="I948" s="562"/>
      <c r="J948" s="563"/>
    </row>
    <row r="949" spans="2:10" ht="12.75">
      <c r="B949" s="603"/>
      <c r="C949" s="1186"/>
      <c r="D949" s="562"/>
      <c r="E949" s="562"/>
      <c r="F949" s="562"/>
      <c r="G949" s="562"/>
      <c r="H949" s="562"/>
      <c r="I949" s="562"/>
      <c r="J949" s="563"/>
    </row>
    <row r="950" spans="2:10" ht="12.75">
      <c r="B950" s="603"/>
      <c r="C950" s="1186"/>
      <c r="D950" s="562"/>
      <c r="E950" s="562"/>
      <c r="F950" s="562"/>
      <c r="G950" s="562"/>
      <c r="H950" s="562"/>
      <c r="I950" s="562"/>
      <c r="J950" s="563"/>
    </row>
    <row r="951" spans="2:10" ht="12.75">
      <c r="B951" s="603"/>
      <c r="C951" s="1186"/>
      <c r="D951" s="562"/>
      <c r="E951" s="562"/>
      <c r="F951" s="562"/>
      <c r="G951" s="562"/>
      <c r="H951" s="562"/>
      <c r="I951" s="562"/>
      <c r="J951" s="563"/>
    </row>
    <row r="952" spans="2:10" ht="12.75">
      <c r="B952" s="603"/>
      <c r="C952" s="1186"/>
      <c r="D952" s="562"/>
      <c r="E952" s="562"/>
      <c r="F952" s="562"/>
      <c r="G952" s="562"/>
      <c r="H952" s="562"/>
      <c r="I952" s="562"/>
      <c r="J952" s="563"/>
    </row>
    <row r="953" spans="2:10" ht="12.75">
      <c r="B953" s="603"/>
      <c r="C953" s="1186"/>
      <c r="D953" s="562"/>
      <c r="E953" s="562"/>
      <c r="F953" s="562"/>
      <c r="G953" s="562"/>
      <c r="H953" s="562"/>
      <c r="I953" s="562"/>
      <c r="J953" s="563"/>
    </row>
    <row r="954" spans="2:10" ht="12.75">
      <c r="B954" s="603"/>
      <c r="C954" s="1186"/>
      <c r="D954" s="562"/>
      <c r="E954" s="562"/>
      <c r="F954" s="562"/>
      <c r="G954" s="562"/>
      <c r="H954" s="562"/>
      <c r="I954" s="562"/>
      <c r="J954" s="563"/>
    </row>
    <row r="955" spans="2:10" ht="12.75">
      <c r="B955" s="603"/>
      <c r="C955" s="1186"/>
      <c r="D955" s="562"/>
      <c r="E955" s="562"/>
      <c r="F955" s="562"/>
      <c r="G955" s="562"/>
      <c r="H955" s="562"/>
      <c r="I955" s="562"/>
      <c r="J955" s="563"/>
    </row>
    <row r="956" spans="2:10" ht="12.75">
      <c r="B956" s="603"/>
      <c r="C956" s="1186"/>
      <c r="D956" s="562"/>
      <c r="E956" s="562"/>
      <c r="F956" s="562"/>
      <c r="G956" s="562"/>
      <c r="H956" s="562"/>
      <c r="I956" s="562"/>
      <c r="J956" s="563"/>
    </row>
    <row r="957" spans="2:10" ht="12.75">
      <c r="B957" s="603"/>
      <c r="C957" s="1186"/>
      <c r="D957" s="562"/>
      <c r="E957" s="562"/>
      <c r="F957" s="562"/>
      <c r="G957" s="562"/>
      <c r="H957" s="562"/>
      <c r="I957" s="562"/>
      <c r="J957" s="563"/>
    </row>
    <row r="958" spans="2:10" ht="12.75">
      <c r="B958" s="603"/>
      <c r="C958" s="1186"/>
      <c r="D958" s="562"/>
      <c r="E958" s="562"/>
      <c r="F958" s="562"/>
      <c r="G958" s="562"/>
      <c r="H958" s="562"/>
      <c r="I958" s="562"/>
      <c r="J958" s="563"/>
    </row>
    <row r="959" spans="2:10" ht="12.75">
      <c r="B959" s="603"/>
      <c r="C959" s="1186"/>
      <c r="D959" s="562"/>
      <c r="E959" s="562"/>
      <c r="F959" s="562"/>
      <c r="G959" s="562"/>
      <c r="H959" s="562"/>
      <c r="I959" s="562"/>
      <c r="J959" s="563"/>
    </row>
    <row r="960" spans="2:10" ht="12.75">
      <c r="B960" s="603"/>
      <c r="C960" s="1186"/>
      <c r="D960" s="562"/>
      <c r="E960" s="562"/>
      <c r="F960" s="562"/>
      <c r="G960" s="562"/>
      <c r="H960" s="562"/>
      <c r="I960" s="562"/>
      <c r="J960" s="563"/>
    </row>
    <row r="961" spans="2:10" ht="12.75">
      <c r="B961" s="603"/>
      <c r="C961" s="1186"/>
      <c r="D961" s="562"/>
      <c r="E961" s="562"/>
      <c r="F961" s="562"/>
      <c r="G961" s="562"/>
      <c r="H961" s="562"/>
      <c r="I961" s="562"/>
      <c r="J961" s="563"/>
    </row>
    <row r="962" spans="2:10" ht="12.75">
      <c r="B962" s="603"/>
      <c r="C962" s="1186"/>
      <c r="D962" s="562"/>
      <c r="E962" s="562"/>
      <c r="F962" s="562"/>
      <c r="G962" s="562"/>
      <c r="H962" s="562"/>
      <c r="I962" s="562"/>
      <c r="J962" s="563"/>
    </row>
    <row r="963" spans="2:10" ht="12.75">
      <c r="B963" s="603"/>
      <c r="C963" s="1186"/>
      <c r="D963" s="562"/>
      <c r="E963" s="562"/>
      <c r="F963" s="562"/>
      <c r="G963" s="562"/>
      <c r="H963" s="562"/>
      <c r="I963" s="562"/>
      <c r="J963" s="563"/>
    </row>
    <row r="964" spans="2:10" ht="12.75">
      <c r="B964" s="603"/>
      <c r="C964" s="1186"/>
      <c r="D964" s="562"/>
      <c r="E964" s="562"/>
      <c r="F964" s="562"/>
      <c r="G964" s="562"/>
      <c r="H964" s="562"/>
      <c r="I964" s="562"/>
      <c r="J964" s="563"/>
    </row>
    <row r="965" spans="2:10" ht="12.75">
      <c r="B965" s="603"/>
      <c r="C965" s="1186"/>
      <c r="D965" s="562"/>
      <c r="E965" s="562"/>
      <c r="F965" s="562"/>
      <c r="G965" s="562"/>
      <c r="H965" s="562"/>
      <c r="I965" s="562"/>
      <c r="J965" s="563"/>
    </row>
    <row r="966" spans="2:10" ht="12.75">
      <c r="B966" s="603"/>
      <c r="C966" s="1186"/>
      <c r="D966" s="562"/>
      <c r="E966" s="562"/>
      <c r="F966" s="562"/>
      <c r="G966" s="562"/>
      <c r="H966" s="562"/>
      <c r="I966" s="562"/>
      <c r="J966" s="563"/>
    </row>
    <row r="967" spans="2:10" ht="12.75">
      <c r="B967" s="603"/>
      <c r="C967" s="1186"/>
      <c r="D967" s="562"/>
      <c r="E967" s="562"/>
      <c r="F967" s="562"/>
      <c r="G967" s="562"/>
      <c r="H967" s="562"/>
      <c r="I967" s="562"/>
      <c r="J967" s="563"/>
    </row>
    <row r="968" spans="2:10" ht="12.75">
      <c r="B968" s="603"/>
      <c r="C968" s="1186"/>
      <c r="D968" s="562"/>
      <c r="E968" s="562"/>
      <c r="F968" s="562"/>
      <c r="G968" s="562"/>
      <c r="H968" s="562"/>
      <c r="I968" s="562"/>
      <c r="J968" s="563"/>
    </row>
    <row r="969" spans="2:10" ht="12.75">
      <c r="B969" s="603"/>
      <c r="C969" s="1186"/>
      <c r="D969" s="562"/>
      <c r="E969" s="562"/>
      <c r="F969" s="562"/>
      <c r="G969" s="562"/>
      <c r="H969" s="562"/>
      <c r="I969" s="562"/>
      <c r="J969" s="563"/>
    </row>
    <row r="970" spans="2:10" ht="12.75">
      <c r="B970" s="603"/>
      <c r="C970" s="1186"/>
      <c r="D970" s="562"/>
      <c r="E970" s="562"/>
      <c r="F970" s="562"/>
      <c r="G970" s="562"/>
      <c r="H970" s="562"/>
      <c r="I970" s="562"/>
      <c r="J970" s="563"/>
    </row>
    <row r="971" spans="2:10" ht="12.75">
      <c r="B971" s="603"/>
      <c r="C971" s="1186"/>
      <c r="D971" s="562"/>
      <c r="E971" s="562"/>
      <c r="F971" s="562"/>
      <c r="G971" s="562"/>
      <c r="H971" s="562"/>
      <c r="I971" s="562"/>
      <c r="J971" s="563"/>
    </row>
    <row r="972" spans="2:10" ht="12.75">
      <c r="B972" s="603"/>
      <c r="C972" s="1186"/>
      <c r="D972" s="562"/>
      <c r="E972" s="562"/>
      <c r="F972" s="562"/>
      <c r="G972" s="562"/>
      <c r="H972" s="562"/>
      <c r="I972" s="562"/>
      <c r="J972" s="563"/>
    </row>
    <row r="973" spans="2:10" ht="12.75">
      <c r="B973" s="603"/>
      <c r="C973" s="1186"/>
      <c r="D973" s="562"/>
      <c r="E973" s="562"/>
      <c r="F973" s="562"/>
      <c r="G973" s="562"/>
      <c r="H973" s="562"/>
      <c r="I973" s="562"/>
      <c r="J973" s="563"/>
    </row>
    <row r="974" spans="2:10" ht="12.75">
      <c r="B974" s="603"/>
      <c r="C974" s="1186"/>
      <c r="D974" s="562"/>
      <c r="E974" s="562"/>
      <c r="F974" s="562"/>
      <c r="G974" s="562"/>
      <c r="H974" s="562"/>
      <c r="I974" s="562"/>
      <c r="J974" s="563"/>
    </row>
    <row r="975" spans="2:10" ht="12.75">
      <c r="B975" s="603"/>
      <c r="C975" s="1186"/>
      <c r="D975" s="562"/>
      <c r="E975" s="562"/>
      <c r="F975" s="562"/>
      <c r="G975" s="562"/>
      <c r="H975" s="562"/>
      <c r="I975" s="562"/>
      <c r="J975" s="563"/>
    </row>
    <row r="976" spans="2:10" ht="12.75">
      <c r="B976" s="603"/>
      <c r="C976" s="1186"/>
      <c r="D976" s="562"/>
      <c r="E976" s="562"/>
      <c r="F976" s="562"/>
      <c r="G976" s="562"/>
      <c r="H976" s="562"/>
      <c r="I976" s="562"/>
      <c r="J976" s="563"/>
    </row>
    <row r="977" spans="2:10" ht="12.75">
      <c r="B977" s="603"/>
      <c r="C977" s="1186"/>
      <c r="D977" s="562"/>
      <c r="E977" s="562"/>
      <c r="F977" s="562"/>
      <c r="G977" s="562"/>
      <c r="H977" s="562"/>
      <c r="I977" s="562"/>
      <c r="J977" s="563"/>
    </row>
    <row r="978" spans="2:10" ht="12.75">
      <c r="B978" s="603"/>
      <c r="C978" s="1186"/>
      <c r="D978" s="562"/>
      <c r="E978" s="562"/>
      <c r="F978" s="562"/>
      <c r="G978" s="562"/>
      <c r="H978" s="562"/>
      <c r="I978" s="562"/>
      <c r="J978" s="563"/>
    </row>
    <row r="979" spans="2:10" ht="12.75">
      <c r="B979" s="603"/>
      <c r="C979" s="1186"/>
      <c r="D979" s="562"/>
      <c r="E979" s="562"/>
      <c r="F979" s="562"/>
      <c r="G979" s="562"/>
      <c r="H979" s="562"/>
      <c r="I979" s="562"/>
      <c r="J979" s="563"/>
    </row>
    <row r="980" spans="2:10" ht="12.75">
      <c r="B980" s="603"/>
      <c r="C980" s="1186"/>
      <c r="D980" s="562"/>
      <c r="E980" s="562"/>
      <c r="F980" s="562"/>
      <c r="G980" s="562"/>
      <c r="H980" s="562"/>
      <c r="I980" s="562"/>
      <c r="J980" s="563"/>
    </row>
    <row r="981" spans="2:10" ht="12.75">
      <c r="B981" s="603"/>
      <c r="C981" s="1186"/>
      <c r="D981" s="562"/>
      <c r="E981" s="562"/>
      <c r="F981" s="562"/>
      <c r="G981" s="562"/>
      <c r="H981" s="562"/>
      <c r="I981" s="562"/>
      <c r="J981" s="563"/>
    </row>
    <row r="982" spans="2:10" ht="12.75">
      <c r="B982" s="603"/>
      <c r="C982" s="1186"/>
      <c r="D982" s="562"/>
      <c r="E982" s="562"/>
      <c r="F982" s="562"/>
      <c r="G982" s="562"/>
      <c r="H982" s="562"/>
      <c r="I982" s="562"/>
      <c r="J982" s="563"/>
    </row>
    <row r="983" spans="2:10" ht="12.75">
      <c r="B983" s="603"/>
      <c r="C983" s="1186"/>
      <c r="D983" s="562"/>
      <c r="E983" s="562"/>
      <c r="F983" s="562"/>
      <c r="G983" s="562"/>
      <c r="H983" s="562"/>
      <c r="I983" s="562"/>
      <c r="J983" s="563"/>
    </row>
    <row r="984" spans="2:10" ht="12.75">
      <c r="B984" s="603"/>
      <c r="C984" s="1186"/>
      <c r="D984" s="562"/>
      <c r="E984" s="562"/>
      <c r="F984" s="562"/>
      <c r="G984" s="562"/>
      <c r="H984" s="562"/>
      <c r="I984" s="562"/>
      <c r="J984" s="563"/>
    </row>
    <row r="985" spans="2:10" ht="12.75">
      <c r="B985" s="603"/>
      <c r="C985" s="1186"/>
      <c r="D985" s="562"/>
      <c r="E985" s="562"/>
      <c r="F985" s="562"/>
      <c r="G985" s="562"/>
      <c r="H985" s="562"/>
      <c r="I985" s="562"/>
      <c r="J985" s="563"/>
    </row>
    <row r="986" spans="2:10" ht="12.75">
      <c r="B986" s="603"/>
      <c r="C986" s="1186"/>
      <c r="D986" s="562"/>
      <c r="E986" s="562"/>
      <c r="F986" s="562"/>
      <c r="G986" s="562"/>
      <c r="H986" s="562"/>
      <c r="I986" s="562"/>
      <c r="J986" s="563"/>
    </row>
    <row r="987" spans="2:10" ht="12.75">
      <c r="B987" s="603"/>
      <c r="C987" s="1186"/>
      <c r="D987" s="562"/>
      <c r="E987" s="562"/>
      <c r="F987" s="562"/>
      <c r="G987" s="562"/>
      <c r="H987" s="562"/>
      <c r="I987" s="562"/>
      <c r="J987" s="563"/>
    </row>
    <row r="988" spans="2:10" ht="12.75">
      <c r="B988" s="603"/>
      <c r="C988" s="1186"/>
      <c r="D988" s="562"/>
      <c r="E988" s="562"/>
      <c r="F988" s="562"/>
      <c r="G988" s="562"/>
      <c r="H988" s="562"/>
      <c r="I988" s="562"/>
      <c r="J988" s="563"/>
    </row>
    <row r="989" spans="2:10" ht="12.75">
      <c r="B989" s="603"/>
      <c r="C989" s="1186"/>
      <c r="D989" s="562"/>
      <c r="E989" s="562"/>
      <c r="F989" s="562"/>
      <c r="G989" s="562"/>
      <c r="H989" s="562"/>
      <c r="I989" s="562"/>
      <c r="J989" s="563"/>
    </row>
    <row r="990" spans="2:10" ht="12.75">
      <c r="B990" s="603"/>
      <c r="C990" s="1186"/>
      <c r="D990" s="562"/>
      <c r="E990" s="562"/>
      <c r="F990" s="562"/>
      <c r="G990" s="562"/>
      <c r="H990" s="562"/>
      <c r="I990" s="562"/>
      <c r="J990" s="563"/>
    </row>
    <row r="991" spans="2:10" ht="12.75">
      <c r="B991" s="603"/>
      <c r="C991" s="1186"/>
      <c r="D991" s="562"/>
      <c r="E991" s="562"/>
      <c r="F991" s="562"/>
      <c r="G991" s="562"/>
      <c r="H991" s="562"/>
      <c r="I991" s="562"/>
      <c r="J991" s="563"/>
    </row>
    <row r="992" spans="2:10" ht="12.75">
      <c r="B992" s="603"/>
      <c r="C992" s="1186"/>
      <c r="D992" s="562"/>
      <c r="E992" s="562"/>
      <c r="F992" s="562"/>
      <c r="G992" s="562"/>
      <c r="H992" s="562"/>
      <c r="I992" s="562"/>
      <c r="J992" s="563"/>
    </row>
    <row r="993" spans="2:10" ht="12.75">
      <c r="B993" s="603"/>
      <c r="C993" s="1186"/>
      <c r="D993" s="562"/>
      <c r="E993" s="562"/>
      <c r="F993" s="562"/>
      <c r="G993" s="562"/>
      <c r="H993" s="562"/>
      <c r="I993" s="562"/>
      <c r="J993" s="563"/>
    </row>
    <row r="994" spans="2:10" ht="12.75">
      <c r="B994" s="603"/>
      <c r="C994" s="1186"/>
      <c r="D994" s="562"/>
      <c r="E994" s="562"/>
      <c r="F994" s="562"/>
      <c r="G994" s="562"/>
      <c r="H994" s="562"/>
      <c r="I994" s="562"/>
      <c r="J994" s="563"/>
    </row>
    <row r="995" spans="2:10" ht="12.75">
      <c r="B995" s="603"/>
      <c r="C995" s="1186"/>
      <c r="D995" s="562"/>
      <c r="E995" s="562"/>
      <c r="F995" s="562"/>
      <c r="G995" s="562"/>
      <c r="H995" s="562"/>
      <c r="I995" s="562"/>
      <c r="J995" s="563"/>
    </row>
    <row r="996" spans="2:10" ht="12.75">
      <c r="B996" s="603"/>
      <c r="C996" s="1186"/>
      <c r="D996" s="562"/>
      <c r="E996" s="562"/>
      <c r="F996" s="562"/>
      <c r="G996" s="562"/>
      <c r="H996" s="562"/>
      <c r="I996" s="562"/>
      <c r="J996" s="563"/>
    </row>
    <row r="997" spans="2:10" ht="12.75">
      <c r="B997" s="603"/>
      <c r="C997" s="1186"/>
      <c r="D997" s="562"/>
      <c r="E997" s="562"/>
      <c r="F997" s="562"/>
      <c r="G997" s="562"/>
      <c r="H997" s="562"/>
      <c r="I997" s="562"/>
      <c r="J997" s="563"/>
    </row>
    <row r="998" spans="2:10" ht="12.75">
      <c r="B998" s="603"/>
      <c r="C998" s="1186"/>
      <c r="D998" s="562"/>
      <c r="E998" s="562"/>
      <c r="F998" s="562"/>
      <c r="G998" s="562"/>
      <c r="H998" s="562"/>
      <c r="I998" s="562"/>
      <c r="J998" s="563"/>
    </row>
    <row r="999" spans="2:10" ht="12.75">
      <c r="B999" s="603"/>
      <c r="C999" s="1186"/>
      <c r="D999" s="562"/>
      <c r="E999" s="562"/>
      <c r="F999" s="562"/>
      <c r="G999" s="562"/>
      <c r="H999" s="562"/>
      <c r="I999" s="562"/>
      <c r="J999" s="563"/>
    </row>
    <row r="1000" spans="2:10" ht="12.75">
      <c r="B1000" s="603"/>
      <c r="C1000" s="1186"/>
      <c r="D1000" s="562"/>
      <c r="E1000" s="562"/>
      <c r="F1000" s="562"/>
      <c r="G1000" s="562"/>
      <c r="H1000" s="562"/>
      <c r="I1000" s="562"/>
      <c r="J1000" s="563"/>
    </row>
    <row r="1001" spans="2:10" ht="12.75">
      <c r="B1001" s="603"/>
      <c r="C1001" s="1186"/>
      <c r="D1001" s="562"/>
      <c r="E1001" s="562"/>
      <c r="F1001" s="562"/>
      <c r="G1001" s="562"/>
      <c r="H1001" s="562"/>
      <c r="I1001" s="562"/>
      <c r="J1001" s="563"/>
    </row>
    <row r="1002" spans="2:10" ht="12.75">
      <c r="B1002" s="603"/>
      <c r="C1002" s="1186"/>
      <c r="D1002" s="562"/>
      <c r="E1002" s="562"/>
      <c r="F1002" s="562"/>
      <c r="G1002" s="562"/>
      <c r="H1002" s="562"/>
      <c r="I1002" s="562"/>
      <c r="J1002" s="563"/>
    </row>
    <row r="1003" spans="2:10" ht="12.75">
      <c r="B1003" s="603"/>
      <c r="C1003" s="1186"/>
      <c r="D1003" s="562"/>
      <c r="E1003" s="562"/>
      <c r="F1003" s="562"/>
      <c r="G1003" s="562"/>
      <c r="H1003" s="562"/>
      <c r="I1003" s="562"/>
      <c r="J1003" s="563"/>
    </row>
    <row r="1004" spans="2:10" ht="12.75">
      <c r="B1004" s="603"/>
      <c r="C1004" s="1186"/>
      <c r="D1004" s="562"/>
      <c r="E1004" s="562"/>
      <c r="F1004" s="562"/>
      <c r="G1004" s="562"/>
      <c r="H1004" s="562"/>
      <c r="I1004" s="562"/>
      <c r="J1004" s="563"/>
    </row>
    <row r="1005" spans="2:10" ht="12.75">
      <c r="B1005" s="603"/>
      <c r="C1005" s="1186"/>
      <c r="D1005" s="562"/>
      <c r="E1005" s="562"/>
      <c r="F1005" s="562"/>
      <c r="G1005" s="562"/>
      <c r="H1005" s="562"/>
      <c r="I1005" s="562"/>
      <c r="J1005" s="563"/>
    </row>
    <row r="1006" spans="2:10" ht="12.75">
      <c r="B1006" s="603"/>
      <c r="C1006" s="1186"/>
      <c r="D1006" s="562"/>
      <c r="E1006" s="562"/>
      <c r="F1006" s="562"/>
      <c r="G1006" s="562"/>
      <c r="H1006" s="562"/>
      <c r="I1006" s="562"/>
      <c r="J1006" s="563"/>
    </row>
    <row r="1007" spans="2:10" ht="12.75">
      <c r="B1007" s="603"/>
      <c r="C1007" s="1186"/>
      <c r="D1007" s="562"/>
      <c r="E1007" s="562"/>
      <c r="F1007" s="562"/>
      <c r="G1007" s="562"/>
      <c r="H1007" s="562"/>
      <c r="I1007" s="562"/>
      <c r="J1007" s="563"/>
    </row>
    <row r="1008" spans="2:10" ht="12.75">
      <c r="B1008" s="603"/>
      <c r="C1008" s="1186"/>
      <c r="D1008" s="562"/>
      <c r="E1008" s="562"/>
      <c r="F1008" s="562"/>
      <c r="G1008" s="562"/>
      <c r="H1008" s="562"/>
      <c r="I1008" s="562"/>
      <c r="J1008" s="563"/>
    </row>
    <row r="1009" spans="2:10" ht="12.75">
      <c r="B1009" s="603"/>
      <c r="C1009" s="1186"/>
      <c r="D1009" s="562"/>
      <c r="E1009" s="562"/>
      <c r="F1009" s="562"/>
      <c r="G1009" s="562"/>
      <c r="H1009" s="562"/>
      <c r="I1009" s="562"/>
      <c r="J1009" s="563"/>
    </row>
    <row r="1010" spans="2:10" ht="12.75">
      <c r="B1010" s="603"/>
      <c r="C1010" s="1186"/>
      <c r="D1010" s="562"/>
      <c r="E1010" s="562"/>
      <c r="F1010" s="562"/>
      <c r="G1010" s="562"/>
      <c r="H1010" s="562"/>
      <c r="I1010" s="562"/>
      <c r="J1010" s="563"/>
    </row>
    <row r="1011" spans="2:10" ht="12.75">
      <c r="B1011" s="603"/>
      <c r="C1011" s="1186"/>
      <c r="D1011" s="562"/>
      <c r="E1011" s="562"/>
      <c r="F1011" s="562"/>
      <c r="G1011" s="562"/>
      <c r="H1011" s="562"/>
      <c r="I1011" s="562"/>
      <c r="J1011" s="563"/>
    </row>
    <row r="1012" spans="2:10" ht="12.75">
      <c r="B1012" s="603"/>
      <c r="C1012" s="1186"/>
      <c r="D1012" s="562"/>
      <c r="E1012" s="562"/>
      <c r="F1012" s="562"/>
      <c r="G1012" s="562"/>
      <c r="H1012" s="562"/>
      <c r="I1012" s="562"/>
      <c r="J1012" s="563"/>
    </row>
    <row r="1013" spans="2:10" ht="12.75">
      <c r="B1013" s="603"/>
      <c r="C1013" s="1186"/>
      <c r="D1013" s="562"/>
      <c r="E1013" s="562"/>
      <c r="F1013" s="562"/>
      <c r="G1013" s="562"/>
      <c r="H1013" s="562"/>
      <c r="I1013" s="562"/>
      <c r="J1013" s="563"/>
    </row>
    <row r="1014" spans="2:10" ht="12.75">
      <c r="B1014" s="603"/>
      <c r="C1014" s="1186"/>
      <c r="D1014" s="562"/>
      <c r="E1014" s="562"/>
      <c r="F1014" s="562"/>
      <c r="G1014" s="562"/>
      <c r="H1014" s="562"/>
      <c r="I1014" s="562"/>
      <c r="J1014" s="563"/>
    </row>
    <row r="1015" spans="2:10" ht="12.75">
      <c r="B1015" s="603"/>
      <c r="C1015" s="1186"/>
      <c r="D1015" s="562"/>
      <c r="E1015" s="562"/>
      <c r="F1015" s="562"/>
      <c r="G1015" s="562"/>
      <c r="H1015" s="562"/>
      <c r="I1015" s="562"/>
      <c r="J1015" s="563"/>
    </row>
    <row r="1016" spans="2:10" ht="12.75">
      <c r="B1016" s="603"/>
      <c r="C1016" s="1186"/>
      <c r="D1016" s="562"/>
      <c r="E1016" s="562"/>
      <c r="F1016" s="562"/>
      <c r="G1016" s="562"/>
      <c r="H1016" s="562"/>
      <c r="I1016" s="562"/>
      <c r="J1016" s="563"/>
    </row>
    <row r="1017" spans="2:10" ht="12.75">
      <c r="B1017" s="603"/>
      <c r="C1017" s="1186"/>
      <c r="D1017" s="562"/>
      <c r="E1017" s="562"/>
      <c r="F1017" s="562"/>
      <c r="G1017" s="562"/>
      <c r="H1017" s="562"/>
      <c r="I1017" s="562"/>
      <c r="J1017" s="563"/>
    </row>
    <row r="1018" spans="2:10" ht="12.75">
      <c r="B1018" s="603"/>
      <c r="C1018" s="1186"/>
      <c r="D1018" s="562"/>
      <c r="E1018" s="562"/>
      <c r="F1018" s="562"/>
      <c r="G1018" s="562"/>
      <c r="H1018" s="562"/>
      <c r="I1018" s="562"/>
      <c r="J1018" s="563"/>
    </row>
    <row r="1019" spans="2:10" ht="12.75">
      <c r="B1019" s="603"/>
      <c r="C1019" s="1186"/>
      <c r="D1019" s="562"/>
      <c r="E1019" s="562"/>
      <c r="F1019" s="562"/>
      <c r="G1019" s="562"/>
      <c r="H1019" s="562"/>
      <c r="I1019" s="562"/>
      <c r="J1019" s="563"/>
    </row>
    <row r="1020" spans="2:10" ht="12.75">
      <c r="B1020" s="603"/>
      <c r="C1020" s="1186"/>
      <c r="D1020" s="562"/>
      <c r="E1020" s="562"/>
      <c r="F1020" s="562"/>
      <c r="G1020" s="562"/>
      <c r="H1020" s="562"/>
      <c r="I1020" s="562"/>
      <c r="J1020" s="563"/>
    </row>
    <row r="1021" spans="2:10" ht="12.75">
      <c r="B1021" s="603"/>
      <c r="C1021" s="1186"/>
      <c r="D1021" s="562"/>
      <c r="E1021" s="562"/>
      <c r="F1021" s="562"/>
      <c r="G1021" s="562"/>
      <c r="H1021" s="562"/>
      <c r="I1021" s="562"/>
      <c r="J1021" s="563"/>
    </row>
    <row r="1022" spans="2:10" ht="12.75">
      <c r="B1022" s="603"/>
      <c r="C1022" s="1186"/>
      <c r="D1022" s="562"/>
      <c r="E1022" s="562"/>
      <c r="F1022" s="562"/>
      <c r="G1022" s="562"/>
      <c r="H1022" s="562"/>
      <c r="I1022" s="562"/>
      <c r="J1022" s="563"/>
    </row>
    <row r="1023" spans="2:10" ht="12.75">
      <c r="B1023" s="603"/>
      <c r="C1023" s="1186"/>
      <c r="D1023" s="562"/>
      <c r="E1023" s="562"/>
      <c r="F1023" s="562"/>
      <c r="G1023" s="562"/>
      <c r="H1023" s="562"/>
      <c r="I1023" s="562"/>
      <c r="J1023" s="563"/>
    </row>
    <row r="1024" spans="2:10" ht="12.75">
      <c r="B1024" s="603"/>
      <c r="C1024" s="1186"/>
      <c r="D1024" s="562"/>
      <c r="E1024" s="562"/>
      <c r="F1024" s="562"/>
      <c r="G1024" s="562"/>
      <c r="H1024" s="562"/>
      <c r="I1024" s="562"/>
      <c r="J1024" s="563"/>
    </row>
    <row r="1025" spans="2:10" ht="12.75">
      <c r="B1025" s="603"/>
      <c r="C1025" s="1186"/>
      <c r="D1025" s="562"/>
      <c r="E1025" s="562"/>
      <c r="F1025" s="562"/>
      <c r="G1025" s="562"/>
      <c r="H1025" s="562"/>
      <c r="I1025" s="562"/>
      <c r="J1025" s="563"/>
    </row>
    <row r="1026" spans="2:10" ht="12.75">
      <c r="B1026" s="603"/>
      <c r="C1026" s="1186"/>
      <c r="D1026" s="562"/>
      <c r="E1026" s="562"/>
      <c r="F1026" s="562"/>
      <c r="G1026" s="562"/>
      <c r="H1026" s="562"/>
      <c r="I1026" s="562"/>
      <c r="J1026" s="563"/>
    </row>
    <row r="1027" spans="2:10" ht="12.75">
      <c r="B1027" s="603"/>
      <c r="C1027" s="1186"/>
      <c r="D1027" s="562"/>
      <c r="E1027" s="562"/>
      <c r="F1027" s="562"/>
      <c r="G1027" s="562"/>
      <c r="H1027" s="562"/>
      <c r="I1027" s="562"/>
      <c r="J1027" s="563"/>
    </row>
    <row r="1028" spans="2:10" ht="12.75">
      <c r="B1028" s="603"/>
      <c r="C1028" s="1186"/>
      <c r="D1028" s="562"/>
      <c r="E1028" s="562"/>
      <c r="F1028" s="562"/>
      <c r="G1028" s="562"/>
      <c r="H1028" s="562"/>
      <c r="I1028" s="562"/>
      <c r="J1028" s="563"/>
    </row>
    <row r="1029" spans="2:10" ht="12.75">
      <c r="B1029" s="603"/>
      <c r="C1029" s="1186"/>
      <c r="D1029" s="562"/>
      <c r="E1029" s="562"/>
      <c r="F1029" s="562"/>
      <c r="G1029" s="562"/>
      <c r="H1029" s="562"/>
      <c r="I1029" s="562"/>
      <c r="J1029" s="563"/>
    </row>
    <row r="1030" spans="2:10" ht="12.75">
      <c r="B1030" s="603"/>
      <c r="C1030" s="1186"/>
      <c r="D1030" s="562"/>
      <c r="E1030" s="562"/>
      <c r="F1030" s="562"/>
      <c r="G1030" s="562"/>
      <c r="H1030" s="562"/>
      <c r="I1030" s="562"/>
      <c r="J1030" s="563"/>
    </row>
    <row r="1031" spans="2:10" ht="12.75">
      <c r="B1031" s="603"/>
      <c r="C1031" s="1186"/>
      <c r="D1031" s="562"/>
      <c r="E1031" s="562"/>
      <c r="F1031" s="562"/>
      <c r="G1031" s="562"/>
      <c r="H1031" s="562"/>
      <c r="I1031" s="562"/>
      <c r="J1031" s="563"/>
    </row>
    <row r="1032" spans="2:10" ht="12.75">
      <c r="B1032" s="603"/>
      <c r="C1032" s="1186"/>
      <c r="D1032" s="562"/>
      <c r="E1032" s="562"/>
      <c r="F1032" s="562"/>
      <c r="G1032" s="562"/>
      <c r="H1032" s="562"/>
      <c r="I1032" s="562"/>
      <c r="J1032" s="563"/>
    </row>
    <row r="1033" spans="2:10" ht="12.75">
      <c r="B1033" s="603"/>
      <c r="C1033" s="1186"/>
      <c r="D1033" s="562"/>
      <c r="E1033" s="562"/>
      <c r="F1033" s="562"/>
      <c r="G1033" s="562"/>
      <c r="H1033" s="562"/>
      <c r="I1033" s="562"/>
      <c r="J1033" s="563"/>
    </row>
    <row r="1034" spans="2:10" ht="12.75">
      <c r="B1034" s="603"/>
      <c r="C1034" s="1186"/>
      <c r="D1034" s="562"/>
      <c r="E1034" s="562"/>
      <c r="F1034" s="562"/>
      <c r="G1034" s="562"/>
      <c r="H1034" s="562"/>
      <c r="I1034" s="562"/>
      <c r="J1034" s="563"/>
    </row>
    <row r="1035" spans="2:10" ht="12.75">
      <c r="B1035" s="603"/>
      <c r="C1035" s="1186"/>
      <c r="D1035" s="562"/>
      <c r="E1035" s="562"/>
      <c r="F1035" s="562"/>
      <c r="G1035" s="562"/>
      <c r="H1035" s="562"/>
      <c r="I1035" s="562"/>
      <c r="J1035" s="563"/>
    </row>
    <row r="1036" spans="2:10" ht="12.75">
      <c r="B1036" s="603"/>
      <c r="C1036" s="1186"/>
      <c r="D1036" s="562"/>
      <c r="E1036" s="562"/>
      <c r="F1036" s="562"/>
      <c r="G1036" s="562"/>
      <c r="H1036" s="562"/>
      <c r="I1036" s="562"/>
      <c r="J1036" s="563"/>
    </row>
    <row r="1037" spans="2:10" ht="12.75">
      <c r="B1037" s="603"/>
      <c r="C1037" s="1186"/>
      <c r="D1037" s="562"/>
      <c r="E1037" s="562"/>
      <c r="F1037" s="562"/>
      <c r="G1037" s="562"/>
      <c r="H1037" s="562"/>
      <c r="I1037" s="562"/>
      <c r="J1037" s="563"/>
    </row>
    <row r="1038" spans="2:10" ht="12.75">
      <c r="B1038" s="603"/>
      <c r="C1038" s="1186"/>
      <c r="D1038" s="562"/>
      <c r="E1038" s="562"/>
      <c r="F1038" s="562"/>
      <c r="G1038" s="562"/>
      <c r="H1038" s="562"/>
      <c r="I1038" s="562"/>
      <c r="J1038" s="563"/>
    </row>
    <row r="1039" spans="2:10" ht="12.75">
      <c r="B1039" s="603"/>
      <c r="C1039" s="1186"/>
      <c r="D1039" s="562"/>
      <c r="E1039" s="562"/>
      <c r="F1039" s="562"/>
      <c r="G1039" s="562"/>
      <c r="H1039" s="562"/>
      <c r="I1039" s="562"/>
      <c r="J1039" s="563"/>
    </row>
    <row r="1040" spans="2:10" ht="12.75">
      <c r="B1040" s="603"/>
      <c r="C1040" s="1186"/>
      <c r="D1040" s="562"/>
      <c r="E1040" s="562"/>
      <c r="F1040" s="562"/>
      <c r="G1040" s="562"/>
      <c r="H1040" s="562"/>
      <c r="I1040" s="562"/>
      <c r="J1040" s="563"/>
    </row>
    <row r="1041" spans="2:10" ht="12.75">
      <c r="B1041" s="603"/>
      <c r="C1041" s="1186"/>
      <c r="D1041" s="562"/>
      <c r="E1041" s="562"/>
      <c r="F1041" s="562"/>
      <c r="G1041" s="562"/>
      <c r="H1041" s="562"/>
      <c r="I1041" s="562"/>
      <c r="J1041" s="563"/>
    </row>
    <row r="1042" spans="2:10" ht="12.75">
      <c r="B1042" s="603"/>
      <c r="C1042" s="1186"/>
      <c r="D1042" s="562"/>
      <c r="E1042" s="562"/>
      <c r="F1042" s="562"/>
      <c r="G1042" s="562"/>
      <c r="H1042" s="562"/>
      <c r="I1042" s="562"/>
      <c r="J1042" s="563"/>
    </row>
    <row r="1043" spans="2:10" ht="12.75">
      <c r="B1043" s="603"/>
      <c r="C1043" s="1186"/>
      <c r="D1043" s="562"/>
      <c r="E1043" s="562"/>
      <c r="F1043" s="562"/>
      <c r="G1043" s="562"/>
      <c r="H1043" s="562"/>
      <c r="I1043" s="562"/>
      <c r="J1043" s="563"/>
    </row>
    <row r="1044" spans="2:10" ht="12.75">
      <c r="B1044" s="603"/>
      <c r="C1044" s="1186"/>
      <c r="D1044" s="562"/>
      <c r="E1044" s="562"/>
      <c r="F1044" s="562"/>
      <c r="G1044" s="562"/>
      <c r="H1044" s="562"/>
      <c r="I1044" s="562"/>
      <c r="J1044" s="563"/>
    </row>
    <row r="1045" spans="2:10" ht="12.75">
      <c r="B1045" s="603"/>
      <c r="C1045" s="1186"/>
      <c r="D1045" s="562"/>
      <c r="E1045" s="562"/>
      <c r="F1045" s="562"/>
      <c r="G1045" s="562"/>
      <c r="H1045" s="562"/>
      <c r="I1045" s="562"/>
      <c r="J1045" s="563"/>
    </row>
    <row r="1046" spans="2:10" ht="12.75">
      <c r="B1046" s="603"/>
      <c r="C1046" s="1186"/>
      <c r="D1046" s="562"/>
      <c r="E1046" s="562"/>
      <c r="F1046" s="562"/>
      <c r="G1046" s="562"/>
      <c r="H1046" s="562"/>
      <c r="I1046" s="562"/>
      <c r="J1046" s="563"/>
    </row>
    <row r="1047" spans="2:10" ht="12.75">
      <c r="B1047" s="603"/>
      <c r="C1047" s="1186"/>
      <c r="D1047" s="562"/>
      <c r="E1047" s="562"/>
      <c r="F1047" s="562"/>
      <c r="G1047" s="562"/>
      <c r="H1047" s="562"/>
      <c r="I1047" s="562"/>
      <c r="J1047" s="563"/>
    </row>
    <row r="1048" spans="2:10" ht="12.75">
      <c r="B1048" s="603"/>
      <c r="C1048" s="1186"/>
      <c r="D1048" s="562"/>
      <c r="E1048" s="562"/>
      <c r="F1048" s="562"/>
      <c r="G1048" s="562"/>
      <c r="H1048" s="562"/>
      <c r="I1048" s="562"/>
      <c r="J1048" s="563"/>
    </row>
    <row r="1049" spans="2:10" ht="12.75">
      <c r="B1049" s="603"/>
      <c r="C1049" s="1186"/>
      <c r="D1049" s="562"/>
      <c r="E1049" s="562"/>
      <c r="F1049" s="562"/>
      <c r="G1049" s="562"/>
      <c r="H1049" s="562"/>
      <c r="I1049" s="562"/>
      <c r="J1049" s="563"/>
    </row>
    <row r="1050" spans="2:10" ht="12.75">
      <c r="B1050" s="603"/>
      <c r="C1050" s="1186"/>
      <c r="D1050" s="562"/>
      <c r="E1050" s="562"/>
      <c r="F1050" s="562"/>
      <c r="G1050" s="562"/>
      <c r="H1050" s="562"/>
      <c r="I1050" s="562"/>
      <c r="J1050" s="563"/>
    </row>
    <row r="1051" spans="2:10" ht="12.75">
      <c r="B1051" s="603"/>
      <c r="C1051" s="1186"/>
      <c r="D1051" s="562"/>
      <c r="E1051" s="562"/>
      <c r="F1051" s="562"/>
      <c r="G1051" s="562"/>
      <c r="H1051" s="562"/>
      <c r="I1051" s="562"/>
      <c r="J1051" s="563"/>
    </row>
    <row r="1052" spans="2:10" ht="12.75">
      <c r="B1052" s="603"/>
      <c r="C1052" s="1186"/>
      <c r="D1052" s="562"/>
      <c r="E1052" s="562"/>
      <c r="F1052" s="562"/>
      <c r="G1052" s="562"/>
      <c r="H1052" s="562"/>
      <c r="I1052" s="562"/>
      <c r="J1052" s="563"/>
    </row>
    <row r="1053" spans="2:10" ht="12.75">
      <c r="B1053" s="603"/>
      <c r="C1053" s="1186"/>
      <c r="D1053" s="562"/>
      <c r="E1053" s="562"/>
      <c r="F1053" s="562"/>
      <c r="G1053" s="562"/>
      <c r="H1053" s="562"/>
      <c r="I1053" s="562"/>
      <c r="J1053" s="563"/>
    </row>
    <row r="1054" spans="2:10" ht="12.75">
      <c r="B1054" s="603"/>
      <c r="C1054" s="1186"/>
      <c r="D1054" s="562"/>
      <c r="E1054" s="562"/>
      <c r="F1054" s="562"/>
      <c r="G1054" s="562"/>
      <c r="H1054" s="562"/>
      <c r="I1054" s="562"/>
      <c r="J1054" s="563"/>
    </row>
    <row r="1055" spans="2:10" ht="12.75">
      <c r="B1055" s="603"/>
      <c r="C1055" s="1186"/>
      <c r="D1055" s="562"/>
      <c r="E1055" s="562"/>
      <c r="F1055" s="562"/>
      <c r="G1055" s="562"/>
      <c r="H1055" s="562"/>
      <c r="I1055" s="562"/>
      <c r="J1055" s="563"/>
    </row>
    <row r="1056" spans="2:10" ht="12.75">
      <c r="B1056" s="603"/>
      <c r="C1056" s="1186"/>
      <c r="D1056" s="562"/>
      <c r="E1056" s="562"/>
      <c r="F1056" s="562"/>
      <c r="G1056" s="562"/>
      <c r="H1056" s="562"/>
      <c r="I1056" s="562"/>
      <c r="J1056" s="563"/>
    </row>
    <row r="1057" spans="2:10" ht="12.75">
      <c r="B1057" s="603"/>
      <c r="C1057" s="1186"/>
      <c r="D1057" s="562"/>
      <c r="E1057" s="562"/>
      <c r="F1057" s="562"/>
      <c r="G1057" s="562"/>
      <c r="H1057" s="562"/>
      <c r="I1057" s="562"/>
      <c r="J1057" s="563"/>
    </row>
    <row r="1058" spans="2:10" ht="12.75">
      <c r="B1058" s="603"/>
      <c r="C1058" s="1186"/>
      <c r="D1058" s="562"/>
      <c r="E1058" s="562"/>
      <c r="F1058" s="562"/>
      <c r="G1058" s="562"/>
      <c r="H1058" s="562"/>
      <c r="I1058" s="562"/>
      <c r="J1058" s="563"/>
    </row>
    <row r="1059" spans="2:10" ht="12.75">
      <c r="B1059" s="603"/>
      <c r="C1059" s="1186"/>
      <c r="D1059" s="562"/>
      <c r="E1059" s="562"/>
      <c r="F1059" s="562"/>
      <c r="G1059" s="562"/>
      <c r="H1059" s="562"/>
      <c r="I1059" s="562"/>
      <c r="J1059" s="563"/>
    </row>
    <row r="1060" spans="2:10" ht="12.75">
      <c r="B1060" s="603"/>
      <c r="C1060" s="1186"/>
      <c r="D1060" s="562"/>
      <c r="E1060" s="562"/>
      <c r="F1060" s="562"/>
      <c r="G1060" s="562"/>
      <c r="H1060" s="562"/>
      <c r="I1060" s="562"/>
      <c r="J1060" s="563"/>
    </row>
    <row r="1061" spans="2:10" ht="12.75">
      <c r="B1061" s="603"/>
      <c r="C1061" s="1186"/>
      <c r="D1061" s="562"/>
      <c r="E1061" s="562"/>
      <c r="F1061" s="562"/>
      <c r="G1061" s="562"/>
      <c r="H1061" s="562"/>
      <c r="I1061" s="562"/>
      <c r="J1061" s="563"/>
    </row>
    <row r="1062" spans="2:10" ht="12.75">
      <c r="B1062" s="603"/>
      <c r="C1062" s="1186"/>
      <c r="D1062" s="562"/>
      <c r="E1062" s="562"/>
      <c r="F1062" s="562"/>
      <c r="G1062" s="562"/>
      <c r="H1062" s="562"/>
      <c r="I1062" s="562"/>
      <c r="J1062" s="563"/>
    </row>
    <row r="1063" spans="2:10" ht="12.75">
      <c r="B1063" s="603"/>
      <c r="C1063" s="1186"/>
      <c r="D1063" s="562"/>
      <c r="E1063" s="562"/>
      <c r="F1063" s="562"/>
      <c r="G1063" s="562"/>
      <c r="H1063" s="562"/>
      <c r="I1063" s="562"/>
      <c r="J1063" s="563"/>
    </row>
    <row r="1064" spans="2:10" ht="12.75">
      <c r="B1064" s="603"/>
      <c r="C1064" s="1186"/>
      <c r="D1064" s="562"/>
      <c r="E1064" s="562"/>
      <c r="F1064" s="562"/>
      <c r="G1064" s="562"/>
      <c r="H1064" s="562"/>
      <c r="I1064" s="562"/>
      <c r="J1064" s="563"/>
    </row>
    <row r="1065" spans="2:10" ht="12.75">
      <c r="B1065" s="603"/>
      <c r="C1065" s="1186"/>
      <c r="D1065" s="562"/>
      <c r="E1065" s="562"/>
      <c r="F1065" s="562"/>
      <c r="G1065" s="562"/>
      <c r="H1065" s="562"/>
      <c r="I1065" s="562"/>
      <c r="J1065" s="563"/>
    </row>
    <row r="1066" spans="2:10" ht="12.75">
      <c r="B1066" s="603"/>
      <c r="C1066" s="1186"/>
      <c r="D1066" s="562"/>
      <c r="E1066" s="562"/>
      <c r="F1066" s="562"/>
      <c r="G1066" s="562"/>
      <c r="H1066" s="562"/>
      <c r="I1066" s="562"/>
      <c r="J1066" s="563"/>
    </row>
    <row r="1067" spans="2:10" ht="12.75">
      <c r="B1067" s="603"/>
      <c r="C1067" s="1186"/>
      <c r="D1067" s="562"/>
      <c r="E1067" s="562"/>
      <c r="F1067" s="562"/>
      <c r="G1067" s="562"/>
      <c r="H1067" s="562"/>
      <c r="I1067" s="562"/>
      <c r="J1067" s="563"/>
    </row>
    <row r="1068" spans="2:10" ht="12.75">
      <c r="B1068" s="603"/>
      <c r="C1068" s="1186"/>
      <c r="D1068" s="562"/>
      <c r="E1068" s="562"/>
      <c r="F1068" s="562"/>
      <c r="G1068" s="562"/>
      <c r="H1068" s="562"/>
      <c r="I1068" s="562"/>
      <c r="J1068" s="563"/>
    </row>
    <row r="1069" spans="2:10" ht="12.75">
      <c r="B1069" s="603"/>
      <c r="C1069" s="1186"/>
      <c r="D1069" s="562"/>
      <c r="E1069" s="562"/>
      <c r="F1069" s="562"/>
      <c r="G1069" s="562"/>
      <c r="H1069" s="562"/>
      <c r="I1069" s="562"/>
      <c r="J1069" s="563"/>
    </row>
    <row r="1070" spans="2:10" ht="12.75">
      <c r="B1070" s="603"/>
      <c r="C1070" s="1186"/>
      <c r="D1070" s="562"/>
      <c r="E1070" s="562"/>
      <c r="F1070" s="562"/>
      <c r="G1070" s="562"/>
      <c r="H1070" s="562"/>
      <c r="I1070" s="562"/>
      <c r="J1070" s="563"/>
    </row>
    <row r="1071" spans="2:10" ht="12.75">
      <c r="B1071" s="603"/>
      <c r="C1071" s="1186"/>
      <c r="D1071" s="562"/>
      <c r="E1071" s="562"/>
      <c r="F1071" s="562"/>
      <c r="G1071" s="562"/>
      <c r="H1071" s="562"/>
      <c r="I1071" s="562"/>
      <c r="J1071" s="563"/>
    </row>
    <row r="1072" spans="2:10" ht="12.75">
      <c r="B1072" s="603"/>
      <c r="C1072" s="1186"/>
      <c r="D1072" s="562"/>
      <c r="E1072" s="562"/>
      <c r="F1072" s="562"/>
      <c r="G1072" s="562"/>
      <c r="H1072" s="562"/>
      <c r="I1072" s="562"/>
      <c r="J1072" s="563"/>
    </row>
    <row r="1073" spans="2:10" ht="12.75">
      <c r="B1073" s="603"/>
      <c r="C1073" s="1186"/>
      <c r="D1073" s="562"/>
      <c r="E1073" s="562"/>
      <c r="F1073" s="562"/>
      <c r="G1073" s="562"/>
      <c r="H1073" s="562"/>
      <c r="I1073" s="562"/>
      <c r="J1073" s="563"/>
    </row>
    <row r="1074" spans="2:10" ht="12.75">
      <c r="B1074" s="603"/>
      <c r="C1074" s="1186"/>
      <c r="D1074" s="562"/>
      <c r="E1074" s="562"/>
      <c r="F1074" s="562"/>
      <c r="G1074" s="562"/>
      <c r="H1074" s="562"/>
      <c r="I1074" s="562"/>
      <c r="J1074" s="563"/>
    </row>
    <row r="1075" spans="2:10" ht="12.75">
      <c r="B1075" s="603"/>
      <c r="C1075" s="1186"/>
      <c r="D1075" s="562"/>
      <c r="E1075" s="562"/>
      <c r="F1075" s="562"/>
      <c r="G1075" s="562"/>
      <c r="H1075" s="562"/>
      <c r="I1075" s="562"/>
      <c r="J1075" s="563"/>
    </row>
    <row r="1076" spans="2:10" ht="12.75">
      <c r="B1076" s="603"/>
      <c r="C1076" s="1186"/>
      <c r="D1076" s="562"/>
      <c r="E1076" s="562"/>
      <c r="F1076" s="562"/>
      <c r="G1076" s="562"/>
      <c r="H1076" s="562"/>
      <c r="I1076" s="562"/>
      <c r="J1076" s="563"/>
    </row>
    <row r="1077" spans="2:10" ht="12.75">
      <c r="B1077" s="603"/>
      <c r="C1077" s="1186"/>
      <c r="D1077" s="562"/>
      <c r="E1077" s="562"/>
      <c r="F1077" s="562"/>
      <c r="G1077" s="562"/>
      <c r="H1077" s="562"/>
      <c r="I1077" s="562"/>
      <c r="J1077" s="563"/>
    </row>
    <row r="1078" spans="2:10" ht="12.75">
      <c r="B1078" s="603"/>
      <c r="C1078" s="1186"/>
      <c r="D1078" s="562"/>
      <c r="E1078" s="562"/>
      <c r="F1078" s="562"/>
      <c r="G1078" s="562"/>
      <c r="H1078" s="562"/>
      <c r="I1078" s="562"/>
      <c r="J1078" s="563"/>
    </row>
    <row r="1079" spans="2:10" ht="12.75">
      <c r="B1079" s="603"/>
      <c r="C1079" s="1186"/>
      <c r="D1079" s="562"/>
      <c r="E1079" s="562"/>
      <c r="F1079" s="562"/>
      <c r="G1079" s="562"/>
      <c r="H1079" s="562"/>
      <c r="I1079" s="562"/>
      <c r="J1079" s="563"/>
    </row>
    <row r="1080" spans="2:10" ht="12.75">
      <c r="B1080" s="603"/>
      <c r="C1080" s="1186"/>
      <c r="D1080" s="562"/>
      <c r="E1080" s="562"/>
      <c r="F1080" s="562"/>
      <c r="G1080" s="562"/>
      <c r="H1080" s="562"/>
      <c r="I1080" s="562"/>
      <c r="J1080" s="563"/>
    </row>
    <row r="1081" spans="2:10" ht="12.75">
      <c r="B1081" s="603"/>
      <c r="C1081" s="1186"/>
      <c r="D1081" s="562"/>
      <c r="E1081" s="562"/>
      <c r="F1081" s="562"/>
      <c r="G1081" s="562"/>
      <c r="H1081" s="562"/>
      <c r="I1081" s="562"/>
      <c r="J1081" s="563"/>
    </row>
    <row r="1082" spans="2:10" ht="12.75">
      <c r="B1082" s="603"/>
      <c r="C1082" s="1186"/>
      <c r="D1082" s="562"/>
      <c r="E1082" s="562"/>
      <c r="F1082" s="562"/>
      <c r="G1082" s="562"/>
      <c r="H1082" s="562"/>
      <c r="I1082" s="562"/>
      <c r="J1082" s="563"/>
    </row>
    <row r="1083" spans="2:10" ht="12.75">
      <c r="B1083" s="603"/>
      <c r="C1083" s="1186"/>
      <c r="D1083" s="562"/>
      <c r="E1083" s="562"/>
      <c r="F1083" s="562"/>
      <c r="G1083" s="562"/>
      <c r="H1083" s="562"/>
      <c r="I1083" s="562"/>
      <c r="J1083" s="563"/>
    </row>
    <row r="1084" spans="2:10" ht="12.75">
      <c r="B1084" s="603"/>
      <c r="C1084" s="1186"/>
      <c r="D1084" s="562"/>
      <c r="E1084" s="562"/>
      <c r="F1084" s="562"/>
      <c r="G1084" s="562"/>
      <c r="H1084" s="562"/>
      <c r="I1084" s="562"/>
      <c r="J1084" s="563"/>
    </row>
    <row r="1085" spans="2:10" ht="12.75">
      <c r="B1085" s="603"/>
      <c r="C1085" s="1186"/>
      <c r="D1085" s="562"/>
      <c r="E1085" s="562"/>
      <c r="F1085" s="562"/>
      <c r="G1085" s="562"/>
      <c r="H1085" s="562"/>
      <c r="I1085" s="562"/>
      <c r="J1085" s="563"/>
    </row>
    <row r="1086" spans="2:10" ht="12.75">
      <c r="B1086" s="603"/>
      <c r="C1086" s="1186"/>
      <c r="D1086" s="562"/>
      <c r="E1086" s="562"/>
      <c r="F1086" s="562"/>
      <c r="G1086" s="562"/>
      <c r="H1086" s="562"/>
      <c r="I1086" s="562"/>
      <c r="J1086" s="563"/>
    </row>
    <row r="1087" spans="2:10" ht="12.75">
      <c r="B1087" s="603"/>
      <c r="C1087" s="1186"/>
      <c r="D1087" s="562"/>
      <c r="E1087" s="562"/>
      <c r="F1087" s="562"/>
      <c r="G1087" s="562"/>
      <c r="H1087" s="562"/>
      <c r="I1087" s="562"/>
      <c r="J1087" s="563"/>
    </row>
    <row r="1088" spans="2:10" ht="12.75">
      <c r="B1088" s="603"/>
      <c r="C1088" s="1186"/>
      <c r="D1088" s="562"/>
      <c r="E1088" s="562"/>
      <c r="F1088" s="562"/>
      <c r="G1088" s="562"/>
      <c r="H1088" s="562"/>
      <c r="I1088" s="562"/>
      <c r="J1088" s="563"/>
    </row>
    <row r="1089" spans="2:10" ht="12.75">
      <c r="B1089" s="603"/>
      <c r="C1089" s="1186"/>
      <c r="D1089" s="562"/>
      <c r="E1089" s="562"/>
      <c r="F1089" s="562"/>
      <c r="G1089" s="562"/>
      <c r="H1089" s="562"/>
      <c r="I1089" s="562"/>
      <c r="J1089" s="563"/>
    </row>
    <row r="1090" spans="2:10" ht="12.75">
      <c r="B1090" s="603"/>
      <c r="C1090" s="1186"/>
      <c r="D1090" s="562"/>
      <c r="E1090" s="562"/>
      <c r="F1090" s="562"/>
      <c r="G1090" s="562"/>
      <c r="H1090" s="562"/>
      <c r="I1090" s="562"/>
      <c r="J1090" s="563"/>
    </row>
    <row r="1091" spans="2:10" ht="12.75">
      <c r="B1091" s="603"/>
      <c r="C1091" s="1186"/>
      <c r="D1091" s="562"/>
      <c r="E1091" s="562"/>
      <c r="F1091" s="562"/>
      <c r="G1091" s="562"/>
      <c r="H1091" s="562"/>
      <c r="I1091" s="562"/>
      <c r="J1091" s="563"/>
    </row>
    <row r="1092" spans="2:10" ht="12.75">
      <c r="B1092" s="603"/>
      <c r="C1092" s="1186"/>
      <c r="D1092" s="562"/>
      <c r="E1092" s="562"/>
      <c r="F1092" s="562"/>
      <c r="G1092" s="562"/>
      <c r="H1092" s="562"/>
      <c r="I1092" s="562"/>
      <c r="J1092" s="563"/>
    </row>
    <row r="1093" spans="2:10" ht="12.75">
      <c r="B1093" s="603"/>
      <c r="C1093" s="1186"/>
      <c r="D1093" s="562"/>
      <c r="E1093" s="562"/>
      <c r="F1093" s="562"/>
      <c r="G1093" s="562"/>
      <c r="H1093" s="562"/>
      <c r="I1093" s="562"/>
      <c r="J1093" s="563"/>
    </row>
    <row r="1094" spans="2:10" ht="12.75">
      <c r="B1094" s="603"/>
      <c r="C1094" s="1186"/>
      <c r="D1094" s="562"/>
      <c r="E1094" s="562"/>
      <c r="F1094" s="562"/>
      <c r="G1094" s="562"/>
      <c r="H1094" s="562"/>
      <c r="I1094" s="562"/>
      <c r="J1094" s="563"/>
    </row>
    <row r="1095" spans="2:10" ht="12.75">
      <c r="B1095" s="603"/>
      <c r="C1095" s="1186"/>
      <c r="D1095" s="562"/>
      <c r="E1095" s="562"/>
      <c r="F1095" s="562"/>
      <c r="G1095" s="562"/>
      <c r="H1095" s="562"/>
      <c r="I1095" s="562"/>
      <c r="J1095" s="563"/>
    </row>
    <row r="1096" spans="2:10" ht="12.75">
      <c r="B1096" s="603"/>
      <c r="C1096" s="1186"/>
      <c r="D1096" s="562"/>
      <c r="E1096" s="562"/>
      <c r="F1096" s="562"/>
      <c r="G1096" s="562"/>
      <c r="H1096" s="562"/>
      <c r="I1096" s="562"/>
      <c r="J1096" s="563"/>
    </row>
    <row r="1097" spans="2:10" ht="12.75">
      <c r="B1097" s="603"/>
      <c r="C1097" s="1186"/>
      <c r="D1097" s="562"/>
      <c r="E1097" s="562"/>
      <c r="F1097" s="562"/>
      <c r="G1097" s="562"/>
      <c r="H1097" s="562"/>
      <c r="I1097" s="562"/>
      <c r="J1097" s="563"/>
    </row>
    <row r="1098" spans="2:10" ht="12.75">
      <c r="B1098" s="603"/>
      <c r="C1098" s="1186"/>
      <c r="D1098" s="562"/>
      <c r="E1098" s="562"/>
      <c r="F1098" s="562"/>
      <c r="G1098" s="562"/>
      <c r="H1098" s="562"/>
      <c r="I1098" s="562"/>
      <c r="J1098" s="563"/>
    </row>
    <row r="1099" spans="2:10" ht="12.75">
      <c r="B1099" s="603"/>
      <c r="C1099" s="1186"/>
      <c r="D1099" s="562"/>
      <c r="E1099" s="562"/>
      <c r="F1099" s="562"/>
      <c r="G1099" s="562"/>
      <c r="H1099" s="562"/>
      <c r="I1099" s="562"/>
      <c r="J1099" s="563"/>
    </row>
    <row r="1100" spans="2:10" ht="12.75">
      <c r="B1100" s="603"/>
      <c r="C1100" s="1186"/>
      <c r="D1100" s="562"/>
      <c r="E1100" s="562"/>
      <c r="F1100" s="562"/>
      <c r="G1100" s="562"/>
      <c r="H1100" s="562"/>
      <c r="I1100" s="562"/>
      <c r="J1100" s="563"/>
    </row>
    <row r="1101" spans="2:10" ht="12.75">
      <c r="B1101" s="603"/>
      <c r="C1101" s="1186"/>
      <c r="D1101" s="562"/>
      <c r="E1101" s="562"/>
      <c r="F1101" s="562"/>
      <c r="G1101" s="562"/>
      <c r="H1101" s="562"/>
      <c r="I1101" s="562"/>
      <c r="J1101" s="563"/>
    </row>
    <row r="1102" spans="2:10" ht="12.75">
      <c r="B1102" s="603"/>
      <c r="C1102" s="1186"/>
      <c r="D1102" s="562"/>
      <c r="E1102" s="562"/>
      <c r="F1102" s="562"/>
      <c r="G1102" s="562"/>
      <c r="H1102" s="562"/>
      <c r="I1102" s="562"/>
      <c r="J1102" s="563"/>
    </row>
    <row r="1103" spans="2:10" ht="12.75">
      <c r="B1103" s="603"/>
      <c r="C1103" s="1186"/>
      <c r="D1103" s="562"/>
      <c r="E1103" s="562"/>
      <c r="F1103" s="562"/>
      <c r="G1103" s="562"/>
      <c r="H1103" s="562"/>
      <c r="I1103" s="562"/>
      <c r="J1103" s="563"/>
    </row>
    <row r="1104" spans="2:10" ht="12.75">
      <c r="B1104" s="603"/>
      <c r="C1104" s="1186"/>
      <c r="D1104" s="562"/>
      <c r="E1104" s="562"/>
      <c r="F1104" s="562"/>
      <c r="G1104" s="562"/>
      <c r="H1104" s="562"/>
      <c r="I1104" s="562"/>
      <c r="J1104" s="563"/>
    </row>
    <row r="1105" spans="2:10" ht="12.75">
      <c r="B1105" s="603"/>
      <c r="C1105" s="1186"/>
      <c r="D1105" s="562"/>
      <c r="E1105" s="562"/>
      <c r="F1105" s="562"/>
      <c r="G1105" s="562"/>
      <c r="H1105" s="562"/>
      <c r="I1105" s="562"/>
      <c r="J1105" s="563"/>
    </row>
    <row r="1106" spans="2:10" ht="12.75">
      <c r="B1106" s="603"/>
      <c r="C1106" s="1186"/>
      <c r="D1106" s="562"/>
      <c r="E1106" s="562"/>
      <c r="F1106" s="562"/>
      <c r="G1106" s="562"/>
      <c r="H1106" s="562"/>
      <c r="I1106" s="562"/>
      <c r="J1106" s="563"/>
    </row>
    <row r="1107" spans="2:10" ht="12.75">
      <c r="B1107" s="603"/>
      <c r="C1107" s="1186"/>
      <c r="D1107" s="562"/>
      <c r="E1107" s="562"/>
      <c r="F1107" s="562"/>
      <c r="G1107" s="562"/>
      <c r="H1107" s="562"/>
      <c r="I1107" s="562"/>
      <c r="J1107" s="563"/>
    </row>
    <row r="1108" spans="2:10" ht="12.75">
      <c r="B1108" s="603"/>
      <c r="C1108" s="1186"/>
      <c r="D1108" s="562"/>
      <c r="E1108" s="562"/>
      <c r="F1108" s="562"/>
      <c r="G1108" s="562"/>
      <c r="H1108" s="562"/>
      <c r="I1108" s="562"/>
      <c r="J1108" s="563"/>
    </row>
    <row r="1109" spans="2:10" ht="12.75">
      <c r="B1109" s="603"/>
      <c r="C1109" s="1186"/>
      <c r="D1109" s="562"/>
      <c r="E1109" s="562"/>
      <c r="F1109" s="562"/>
      <c r="G1109" s="562"/>
      <c r="H1109" s="562"/>
      <c r="I1109" s="562"/>
      <c r="J1109" s="563"/>
    </row>
    <row r="1110" spans="2:10" ht="12.75">
      <c r="B1110" s="603"/>
      <c r="C1110" s="1186"/>
      <c r="D1110" s="562"/>
      <c r="E1110" s="562"/>
      <c r="F1110" s="562"/>
      <c r="G1110" s="562"/>
      <c r="H1110" s="562"/>
      <c r="I1110" s="562"/>
      <c r="J1110" s="563"/>
    </row>
    <row r="1111" spans="2:10" ht="12.75">
      <c r="B1111" s="603"/>
      <c r="C1111" s="1186"/>
      <c r="D1111" s="562"/>
      <c r="E1111" s="562"/>
      <c r="F1111" s="562"/>
      <c r="G1111" s="562"/>
      <c r="H1111" s="562"/>
      <c r="I1111" s="562"/>
      <c r="J1111" s="563"/>
    </row>
    <row r="1112" spans="2:10" ht="12.75">
      <c r="B1112" s="603"/>
      <c r="C1112" s="1186"/>
      <c r="D1112" s="562"/>
      <c r="E1112" s="562"/>
      <c r="F1112" s="562"/>
      <c r="G1112" s="562"/>
      <c r="H1112" s="562"/>
      <c r="I1112" s="562"/>
      <c r="J1112" s="563"/>
    </row>
    <row r="1113" spans="2:10" ht="12.75">
      <c r="B1113" s="603"/>
      <c r="C1113" s="1186"/>
      <c r="D1113" s="562"/>
      <c r="E1113" s="562"/>
      <c r="F1113" s="562"/>
      <c r="G1113" s="562"/>
      <c r="H1113" s="562"/>
      <c r="I1113" s="562"/>
      <c r="J1113" s="563"/>
    </row>
    <row r="1114" spans="2:10" ht="12.75">
      <c r="B1114" s="603"/>
      <c r="C1114" s="1186"/>
      <c r="D1114" s="562"/>
      <c r="E1114" s="562"/>
      <c r="F1114" s="562"/>
      <c r="G1114" s="562"/>
      <c r="H1114" s="562"/>
      <c r="I1114" s="562"/>
      <c r="J1114" s="563"/>
    </row>
    <row r="1115" spans="2:10" ht="12.75">
      <c r="B1115" s="603"/>
      <c r="C1115" s="1186"/>
      <c r="D1115" s="562"/>
      <c r="E1115" s="562"/>
      <c r="F1115" s="562"/>
      <c r="G1115" s="562"/>
      <c r="H1115" s="562"/>
      <c r="I1115" s="562"/>
      <c r="J1115" s="563"/>
    </row>
    <row r="1116" spans="2:10" ht="12.75">
      <c r="B1116" s="603"/>
      <c r="C1116" s="1186"/>
      <c r="D1116" s="562"/>
      <c r="E1116" s="562"/>
      <c r="F1116" s="562"/>
      <c r="G1116" s="562"/>
      <c r="H1116" s="562"/>
      <c r="I1116" s="562"/>
      <c r="J1116" s="563"/>
    </row>
    <row r="1117" spans="2:10" ht="12.75">
      <c r="B1117" s="603"/>
      <c r="C1117" s="1186"/>
      <c r="D1117" s="562"/>
      <c r="E1117" s="562"/>
      <c r="F1117" s="562"/>
      <c r="G1117" s="562"/>
      <c r="H1117" s="562"/>
      <c r="I1117" s="562"/>
      <c r="J1117" s="563"/>
    </row>
    <row r="1118" spans="2:10" ht="12.75">
      <c r="B1118" s="603"/>
      <c r="C1118" s="1186"/>
      <c r="D1118" s="562"/>
      <c r="E1118" s="562"/>
      <c r="F1118" s="562"/>
      <c r="G1118" s="562"/>
      <c r="H1118" s="562"/>
      <c r="I1118" s="562"/>
      <c r="J1118" s="563"/>
    </row>
    <row r="1119" spans="2:10" ht="12.75">
      <c r="B1119" s="603"/>
      <c r="C1119" s="1186"/>
      <c r="D1119" s="562"/>
      <c r="E1119" s="562"/>
      <c r="F1119" s="562"/>
      <c r="G1119" s="562"/>
      <c r="H1119" s="562"/>
      <c r="I1119" s="562"/>
      <c r="J1119" s="563"/>
    </row>
    <row r="1120" spans="2:10" ht="12.75">
      <c r="B1120" s="603"/>
      <c r="C1120" s="1186"/>
      <c r="D1120" s="562"/>
      <c r="E1120" s="562"/>
      <c r="F1120" s="562"/>
      <c r="G1120" s="562"/>
      <c r="H1120" s="562"/>
      <c r="I1120" s="562"/>
      <c r="J1120" s="563"/>
    </row>
    <row r="1121" spans="2:10" ht="12.75">
      <c r="B1121" s="603"/>
      <c r="C1121" s="1186"/>
      <c r="D1121" s="562"/>
      <c r="E1121" s="562"/>
      <c r="F1121" s="562"/>
      <c r="G1121" s="562"/>
      <c r="H1121" s="562"/>
      <c r="I1121" s="562"/>
      <c r="J1121" s="563"/>
    </row>
    <row r="1122" spans="2:10" ht="12.75">
      <c r="B1122" s="603"/>
      <c r="C1122" s="1186"/>
      <c r="D1122" s="562"/>
      <c r="E1122" s="562"/>
      <c r="F1122" s="562"/>
      <c r="G1122" s="562"/>
      <c r="H1122" s="562"/>
      <c r="I1122" s="562"/>
      <c r="J1122" s="563"/>
    </row>
    <row r="1123" spans="2:10" ht="12.75">
      <c r="B1123" s="603"/>
      <c r="C1123" s="1186"/>
      <c r="D1123" s="562"/>
      <c r="E1123" s="562"/>
      <c r="F1123" s="562"/>
      <c r="G1123" s="562"/>
      <c r="H1123" s="562"/>
      <c r="I1123" s="562"/>
      <c r="J1123" s="563"/>
    </row>
    <row r="1124" spans="2:10" ht="12.75">
      <c r="B1124" s="603"/>
      <c r="C1124" s="1186"/>
      <c r="D1124" s="562"/>
      <c r="E1124" s="562"/>
      <c r="F1124" s="562"/>
      <c r="G1124" s="562"/>
      <c r="H1124" s="562"/>
      <c r="I1124" s="562"/>
      <c r="J1124" s="563"/>
    </row>
    <row r="1125" spans="2:10" ht="12.75">
      <c r="B1125" s="603"/>
      <c r="C1125" s="1186"/>
      <c r="D1125" s="562"/>
      <c r="E1125" s="562"/>
      <c r="F1125" s="562"/>
      <c r="G1125" s="562"/>
      <c r="H1125" s="562"/>
      <c r="I1125" s="562"/>
      <c r="J1125" s="563"/>
    </row>
    <row r="1126" spans="2:10" ht="12.75">
      <c r="B1126" s="603"/>
      <c r="C1126" s="1186"/>
      <c r="D1126" s="562"/>
      <c r="E1126" s="562"/>
      <c r="F1126" s="562"/>
      <c r="G1126" s="562"/>
      <c r="H1126" s="562"/>
      <c r="I1126" s="562"/>
      <c r="J1126" s="563"/>
    </row>
    <row r="1127" spans="2:10" ht="12.75">
      <c r="B1127" s="603"/>
      <c r="C1127" s="1186"/>
      <c r="D1127" s="562"/>
      <c r="E1127" s="562"/>
      <c r="F1127" s="562"/>
      <c r="G1127" s="562"/>
      <c r="H1127" s="562"/>
      <c r="I1127" s="562"/>
      <c r="J1127" s="563"/>
    </row>
    <row r="1128" spans="2:10" ht="12.75">
      <c r="B1128" s="603"/>
      <c r="C1128" s="1186"/>
      <c r="D1128" s="562"/>
      <c r="E1128" s="562"/>
      <c r="F1128" s="562"/>
      <c r="G1128" s="562"/>
      <c r="H1128" s="562"/>
      <c r="I1128" s="562"/>
      <c r="J1128" s="563"/>
    </row>
    <row r="1129" spans="2:10" ht="12.75">
      <c r="B1129" s="603"/>
      <c r="C1129" s="1186"/>
      <c r="D1129" s="562"/>
      <c r="E1129" s="562"/>
      <c r="F1129" s="562"/>
      <c r="G1129" s="562"/>
      <c r="H1129" s="562"/>
      <c r="I1129" s="562"/>
      <c r="J1129" s="563"/>
    </row>
    <row r="1130" spans="2:10" ht="12.75">
      <c r="B1130" s="603"/>
      <c r="C1130" s="1186"/>
      <c r="D1130" s="562"/>
      <c r="E1130" s="562"/>
      <c r="F1130" s="562"/>
      <c r="G1130" s="562"/>
      <c r="H1130" s="562"/>
      <c r="I1130" s="562"/>
      <c r="J1130" s="563"/>
    </row>
    <row r="1131" spans="2:10" ht="12.75">
      <c r="B1131" s="603"/>
      <c r="C1131" s="1186"/>
      <c r="D1131" s="562"/>
      <c r="E1131" s="562"/>
      <c r="F1131" s="562"/>
      <c r="G1131" s="562"/>
      <c r="H1131" s="562"/>
      <c r="I1131" s="562"/>
      <c r="J1131" s="563"/>
    </row>
    <row r="1132" spans="2:10" ht="12.75">
      <c r="B1132" s="603"/>
      <c r="C1132" s="1186"/>
      <c r="D1132" s="562"/>
      <c r="E1132" s="562"/>
      <c r="F1132" s="562"/>
      <c r="G1132" s="562"/>
      <c r="H1132" s="562"/>
      <c r="I1132" s="562"/>
      <c r="J1132" s="563"/>
    </row>
    <row r="1133" spans="2:10" ht="12.75">
      <c r="B1133" s="603"/>
      <c r="C1133" s="1186"/>
      <c r="D1133" s="562"/>
      <c r="E1133" s="562"/>
      <c r="F1133" s="562"/>
      <c r="G1133" s="562"/>
      <c r="H1133" s="562"/>
      <c r="I1133" s="562"/>
      <c r="J1133" s="563"/>
    </row>
    <row r="1134" spans="2:10" ht="12.75">
      <c r="B1134" s="603"/>
      <c r="C1134" s="1186"/>
      <c r="D1134" s="562"/>
      <c r="E1134" s="562"/>
      <c r="F1134" s="562"/>
      <c r="G1134" s="562"/>
      <c r="H1134" s="562"/>
      <c r="I1134" s="562"/>
      <c r="J1134" s="563"/>
    </row>
    <row r="1135" spans="2:10" ht="12.75">
      <c r="B1135" s="603"/>
      <c r="C1135" s="1186"/>
      <c r="D1135" s="562"/>
      <c r="E1135" s="562"/>
      <c r="F1135" s="562"/>
      <c r="G1135" s="562"/>
      <c r="H1135" s="562"/>
      <c r="I1135" s="562"/>
      <c r="J1135" s="563"/>
    </row>
    <row r="1136" spans="2:10" ht="12.75">
      <c r="B1136" s="603"/>
      <c r="C1136" s="1186"/>
      <c r="D1136" s="562"/>
      <c r="E1136" s="562"/>
      <c r="F1136" s="562"/>
      <c r="G1136" s="562"/>
      <c r="H1136" s="562"/>
      <c r="I1136" s="562"/>
      <c r="J1136" s="563"/>
    </row>
    <row r="1137" spans="2:10" ht="12.75">
      <c r="B1137" s="603"/>
      <c r="C1137" s="1186"/>
      <c r="D1137" s="562"/>
      <c r="E1137" s="562"/>
      <c r="F1137" s="562"/>
      <c r="G1137" s="562"/>
      <c r="H1137" s="562"/>
      <c r="I1137" s="562"/>
      <c r="J1137" s="563"/>
    </row>
    <row r="1138" spans="2:10" ht="12.75">
      <c r="B1138" s="603"/>
      <c r="C1138" s="1186"/>
      <c r="D1138" s="562"/>
      <c r="E1138" s="562"/>
      <c r="F1138" s="562"/>
      <c r="G1138" s="562"/>
      <c r="H1138" s="562"/>
      <c r="I1138" s="562"/>
      <c r="J1138" s="563"/>
    </row>
    <row r="1139" spans="2:10" ht="12.75">
      <c r="B1139" s="603"/>
      <c r="C1139" s="1186"/>
      <c r="D1139" s="562"/>
      <c r="E1139" s="562"/>
      <c r="F1139" s="562"/>
      <c r="G1139" s="562"/>
      <c r="H1139" s="562"/>
      <c r="I1139" s="562"/>
      <c r="J1139" s="563"/>
    </row>
    <row r="1140" spans="2:10" ht="12.75">
      <c r="B1140" s="603"/>
      <c r="C1140" s="1186"/>
      <c r="D1140" s="562"/>
      <c r="E1140" s="562"/>
      <c r="F1140" s="562"/>
      <c r="G1140" s="562"/>
      <c r="H1140" s="562"/>
      <c r="I1140" s="562"/>
      <c r="J1140" s="563"/>
    </row>
    <row r="1141" spans="2:10" ht="12.75">
      <c r="B1141" s="603"/>
      <c r="C1141" s="1186"/>
      <c r="D1141" s="562"/>
      <c r="E1141" s="562"/>
      <c r="F1141" s="562"/>
      <c r="G1141" s="562"/>
      <c r="H1141" s="562"/>
      <c r="I1141" s="562"/>
      <c r="J1141" s="563"/>
    </row>
    <row r="1142" spans="2:10" ht="12.75">
      <c r="B1142" s="603"/>
      <c r="C1142" s="1186"/>
      <c r="D1142" s="562"/>
      <c r="E1142" s="562"/>
      <c r="F1142" s="562"/>
      <c r="G1142" s="562"/>
      <c r="H1142" s="562"/>
      <c r="I1142" s="562"/>
      <c r="J1142" s="563"/>
    </row>
    <row r="1143" spans="2:10" ht="12.75">
      <c r="B1143" s="603"/>
      <c r="C1143" s="1186"/>
      <c r="D1143" s="562"/>
      <c r="E1143" s="562"/>
      <c r="F1143" s="562"/>
      <c r="G1143" s="562"/>
      <c r="H1143" s="562"/>
      <c r="I1143" s="562"/>
      <c r="J1143" s="563"/>
    </row>
    <row r="1144" spans="2:10" ht="12.75">
      <c r="B1144" s="603"/>
      <c r="C1144" s="1186"/>
      <c r="D1144" s="562"/>
      <c r="E1144" s="562"/>
      <c r="F1144" s="562"/>
      <c r="G1144" s="562"/>
      <c r="H1144" s="562"/>
      <c r="I1144" s="562"/>
      <c r="J1144" s="563"/>
    </row>
    <row r="1145" spans="2:10" ht="12.75">
      <c r="B1145" s="603"/>
      <c r="C1145" s="1186"/>
      <c r="D1145" s="562"/>
      <c r="E1145" s="562"/>
      <c r="F1145" s="562"/>
      <c r="G1145" s="562"/>
      <c r="H1145" s="562"/>
      <c r="I1145" s="562"/>
      <c r="J1145" s="563"/>
    </row>
    <row r="1146" spans="2:10" ht="12.75">
      <c r="B1146" s="603"/>
      <c r="C1146" s="1186"/>
      <c r="D1146" s="562"/>
      <c r="E1146" s="562"/>
      <c r="F1146" s="562"/>
      <c r="G1146" s="562"/>
      <c r="H1146" s="562"/>
      <c r="I1146" s="562"/>
      <c r="J1146" s="563"/>
    </row>
    <row r="1147" spans="2:10" ht="12.75">
      <c r="B1147" s="603"/>
      <c r="C1147" s="1186"/>
      <c r="D1147" s="562"/>
      <c r="E1147" s="562"/>
      <c r="F1147" s="562"/>
      <c r="G1147" s="562"/>
      <c r="H1147" s="562"/>
      <c r="I1147" s="562"/>
      <c r="J1147" s="563"/>
    </row>
    <row r="1148" spans="2:10" ht="12.75">
      <c r="B1148" s="603"/>
      <c r="C1148" s="1186"/>
      <c r="D1148" s="562"/>
      <c r="E1148" s="562"/>
      <c r="F1148" s="562"/>
      <c r="G1148" s="562"/>
      <c r="H1148" s="562"/>
      <c r="I1148" s="562"/>
      <c r="J1148" s="563"/>
    </row>
    <row r="1149" spans="2:10" ht="12.75">
      <c r="B1149" s="603"/>
      <c r="C1149" s="1186"/>
      <c r="D1149" s="562"/>
      <c r="E1149" s="562"/>
      <c r="F1149" s="562"/>
      <c r="G1149" s="562"/>
      <c r="H1149" s="562"/>
      <c r="I1149" s="562"/>
      <c r="J1149" s="563"/>
    </row>
    <row r="1150" spans="2:10" ht="12.75">
      <c r="B1150" s="603"/>
      <c r="C1150" s="1186"/>
      <c r="D1150" s="562"/>
      <c r="E1150" s="562"/>
      <c r="F1150" s="562"/>
      <c r="G1150" s="562"/>
      <c r="H1150" s="562"/>
      <c r="I1150" s="562"/>
      <c r="J1150" s="563"/>
    </row>
    <row r="1151" spans="2:10" ht="12.75">
      <c r="B1151" s="603"/>
      <c r="C1151" s="1186"/>
      <c r="D1151" s="562"/>
      <c r="E1151" s="562"/>
      <c r="F1151" s="562"/>
      <c r="G1151" s="562"/>
      <c r="H1151" s="562"/>
      <c r="I1151" s="562"/>
      <c r="J1151" s="563"/>
    </row>
    <row r="1152" spans="2:10" ht="12.75">
      <c r="B1152" s="603"/>
      <c r="C1152" s="1186"/>
      <c r="D1152" s="562"/>
      <c r="E1152" s="562"/>
      <c r="F1152" s="562"/>
      <c r="G1152" s="562"/>
      <c r="H1152" s="562"/>
      <c r="I1152" s="562"/>
      <c r="J1152" s="563"/>
    </row>
    <row r="1153" spans="2:10" ht="12.75">
      <c r="B1153" s="603"/>
      <c r="C1153" s="1186"/>
      <c r="D1153" s="562"/>
      <c r="E1153" s="562"/>
      <c r="F1153" s="562"/>
      <c r="G1153" s="562"/>
      <c r="H1153" s="562"/>
      <c r="I1153" s="562"/>
      <c r="J1153" s="563"/>
    </row>
    <row r="1154" spans="2:10" ht="12.75">
      <c r="B1154" s="603"/>
      <c r="C1154" s="1186"/>
      <c r="D1154" s="562"/>
      <c r="E1154" s="562"/>
      <c r="F1154" s="562"/>
      <c r="G1154" s="562"/>
      <c r="H1154" s="562"/>
      <c r="I1154" s="562"/>
      <c r="J1154" s="563"/>
    </row>
    <row r="1155" spans="2:10" ht="12.75">
      <c r="B1155" s="603"/>
      <c r="C1155" s="1186"/>
      <c r="D1155" s="562"/>
      <c r="E1155" s="562"/>
      <c r="F1155" s="562"/>
      <c r="G1155" s="562"/>
      <c r="H1155" s="562"/>
      <c r="I1155" s="562"/>
      <c r="J1155" s="563"/>
    </row>
    <row r="1156" spans="2:10" ht="12.75">
      <c r="B1156" s="603"/>
      <c r="C1156" s="1186"/>
      <c r="D1156" s="562"/>
      <c r="E1156" s="562"/>
      <c r="F1156" s="562"/>
      <c r="G1156" s="562"/>
      <c r="H1156" s="562"/>
      <c r="I1156" s="562"/>
      <c r="J1156" s="563"/>
    </row>
    <row r="1157" spans="2:10" ht="12.75">
      <c r="B1157" s="603"/>
      <c r="C1157" s="1186"/>
      <c r="D1157" s="562"/>
      <c r="E1157" s="562"/>
      <c r="F1157" s="562"/>
      <c r="G1157" s="562"/>
      <c r="H1157" s="562"/>
      <c r="I1157" s="562"/>
      <c r="J1157" s="563"/>
    </row>
    <row r="1158" spans="2:10" ht="12.75">
      <c r="B1158" s="603"/>
      <c r="C1158" s="1186"/>
      <c r="D1158" s="562"/>
      <c r="E1158" s="562"/>
      <c r="F1158" s="562"/>
      <c r="G1158" s="562"/>
      <c r="H1158" s="562"/>
      <c r="I1158" s="562"/>
      <c r="J1158" s="563"/>
    </row>
    <row r="1159" spans="2:10" ht="12.75">
      <c r="B1159" s="603"/>
      <c r="C1159" s="1186"/>
      <c r="D1159" s="562"/>
      <c r="E1159" s="562"/>
      <c r="F1159" s="562"/>
      <c r="G1159" s="562"/>
      <c r="H1159" s="562"/>
      <c r="I1159" s="562"/>
      <c r="J1159" s="563"/>
    </row>
    <row r="1160" spans="2:10" ht="12.75">
      <c r="B1160" s="603"/>
      <c r="C1160" s="1186"/>
      <c r="D1160" s="562"/>
      <c r="E1160" s="562"/>
      <c r="F1160" s="562"/>
      <c r="G1160" s="562"/>
      <c r="H1160" s="562"/>
      <c r="I1160" s="562"/>
      <c r="J1160" s="563"/>
    </row>
    <row r="1161" spans="2:10" ht="12.75">
      <c r="B1161" s="603"/>
      <c r="C1161" s="1186"/>
      <c r="D1161" s="562"/>
      <c r="E1161" s="562"/>
      <c r="F1161" s="562"/>
      <c r="G1161" s="562"/>
      <c r="H1161" s="562"/>
      <c r="I1161" s="562"/>
      <c r="J1161" s="563"/>
    </row>
    <row r="1162" spans="2:10" ht="12.75">
      <c r="B1162" s="603"/>
      <c r="C1162" s="1186"/>
      <c r="D1162" s="562"/>
      <c r="E1162" s="562"/>
      <c r="F1162" s="562"/>
      <c r="G1162" s="562"/>
      <c r="H1162" s="562"/>
      <c r="I1162" s="562"/>
      <c r="J1162" s="563"/>
    </row>
    <row r="1163" spans="2:10" ht="12.75">
      <c r="B1163" s="603"/>
      <c r="C1163" s="1186"/>
      <c r="D1163" s="562"/>
      <c r="E1163" s="562"/>
      <c r="F1163" s="562"/>
      <c r="G1163" s="562"/>
      <c r="H1163" s="562"/>
      <c r="I1163" s="562"/>
      <c r="J1163" s="563"/>
    </row>
    <row r="1164" spans="2:10" ht="12.75">
      <c r="B1164" s="603"/>
      <c r="C1164" s="1186"/>
      <c r="D1164" s="562"/>
      <c r="E1164" s="562"/>
      <c r="F1164" s="562"/>
      <c r="G1164" s="562"/>
      <c r="H1164" s="562"/>
      <c r="I1164" s="562"/>
      <c r="J1164" s="563"/>
    </row>
    <row r="1165" spans="2:10" ht="12.75">
      <c r="B1165" s="603"/>
      <c r="C1165" s="1186"/>
      <c r="D1165" s="562"/>
      <c r="E1165" s="562"/>
      <c r="F1165" s="562"/>
      <c r="G1165" s="562"/>
      <c r="H1165" s="562"/>
      <c r="I1165" s="562"/>
      <c r="J1165" s="563"/>
    </row>
    <row r="1166" spans="2:10" ht="12.75">
      <c r="B1166" s="603"/>
      <c r="C1166" s="1186"/>
      <c r="D1166" s="562"/>
      <c r="E1166" s="562"/>
      <c r="F1166" s="562"/>
      <c r="G1166" s="562"/>
      <c r="H1166" s="562"/>
      <c r="I1166" s="562"/>
      <c r="J1166" s="563"/>
    </row>
    <row r="1167" spans="2:10" ht="12.75">
      <c r="B1167" s="603"/>
      <c r="C1167" s="1186"/>
      <c r="D1167" s="562"/>
      <c r="E1167" s="562"/>
      <c r="F1167" s="562"/>
      <c r="G1167" s="562"/>
      <c r="H1167" s="562"/>
      <c r="I1167" s="562"/>
      <c r="J1167" s="563"/>
    </row>
    <row r="1168" spans="2:10" ht="12.75">
      <c r="B1168" s="603"/>
      <c r="C1168" s="1186"/>
      <c r="D1168" s="562"/>
      <c r="E1168" s="562"/>
      <c r="F1168" s="562"/>
      <c r="G1168" s="562"/>
      <c r="H1168" s="562"/>
      <c r="I1168" s="562"/>
      <c r="J1168" s="563"/>
    </row>
    <row r="1169" spans="2:10" ht="12.75">
      <c r="B1169" s="603"/>
      <c r="C1169" s="1186"/>
      <c r="D1169" s="562"/>
      <c r="E1169" s="562"/>
      <c r="F1169" s="562"/>
      <c r="G1169" s="562"/>
      <c r="H1169" s="562"/>
      <c r="I1169" s="562"/>
      <c r="J1169" s="563"/>
    </row>
    <row r="1170" spans="2:10" ht="12.75">
      <c r="B1170" s="603"/>
      <c r="C1170" s="1186"/>
      <c r="D1170" s="562"/>
      <c r="E1170" s="562"/>
      <c r="F1170" s="562"/>
      <c r="G1170" s="562"/>
      <c r="H1170" s="562"/>
      <c r="I1170" s="562"/>
      <c r="J1170" s="563"/>
    </row>
    <row r="1171" spans="2:10" ht="12.75">
      <c r="B1171" s="603"/>
      <c r="C1171" s="1186"/>
      <c r="D1171" s="562"/>
      <c r="E1171" s="562"/>
      <c r="F1171" s="562"/>
      <c r="G1171" s="562"/>
      <c r="H1171" s="562"/>
      <c r="I1171" s="562"/>
      <c r="J1171" s="563"/>
    </row>
    <row r="1172" spans="2:10" ht="12.75">
      <c r="B1172" s="603"/>
      <c r="C1172" s="1186"/>
      <c r="D1172" s="562"/>
      <c r="E1172" s="562"/>
      <c r="F1172" s="562"/>
      <c r="G1172" s="562"/>
      <c r="H1172" s="562"/>
      <c r="I1172" s="562"/>
      <c r="J1172" s="563"/>
    </row>
    <row r="1173" spans="2:10" ht="12.75">
      <c r="B1173" s="603"/>
      <c r="C1173" s="1186"/>
      <c r="D1173" s="562"/>
      <c r="E1173" s="562"/>
      <c r="F1173" s="562"/>
      <c r="G1173" s="562"/>
      <c r="H1173" s="562"/>
      <c r="I1173" s="562"/>
      <c r="J1173" s="563"/>
    </row>
    <row r="1174" spans="2:10" ht="12.75">
      <c r="B1174" s="603"/>
      <c r="C1174" s="1186"/>
      <c r="D1174" s="562"/>
      <c r="E1174" s="562"/>
      <c r="F1174" s="562"/>
      <c r="G1174" s="562"/>
      <c r="H1174" s="562"/>
      <c r="I1174" s="562"/>
      <c r="J1174" s="563"/>
    </row>
    <row r="1175" spans="2:10" ht="12.75">
      <c r="B1175" s="603"/>
      <c r="C1175" s="1186"/>
      <c r="D1175" s="562"/>
      <c r="E1175" s="562"/>
      <c r="F1175" s="562"/>
      <c r="G1175" s="562"/>
      <c r="H1175" s="562"/>
      <c r="I1175" s="562"/>
      <c r="J1175" s="563"/>
    </row>
    <row r="1176" spans="2:10" ht="12.75">
      <c r="B1176" s="603"/>
      <c r="C1176" s="1186"/>
      <c r="D1176" s="562"/>
      <c r="E1176" s="562"/>
      <c r="F1176" s="562"/>
      <c r="G1176" s="562"/>
      <c r="H1176" s="562"/>
      <c r="I1176" s="562"/>
      <c r="J1176" s="563"/>
    </row>
    <row r="1177" spans="2:10" ht="12.75">
      <c r="B1177" s="603"/>
      <c r="C1177" s="1186"/>
      <c r="D1177" s="562"/>
      <c r="E1177" s="562"/>
      <c r="F1177" s="562"/>
      <c r="G1177" s="562"/>
      <c r="H1177" s="562"/>
      <c r="I1177" s="562"/>
      <c r="J1177" s="563"/>
    </row>
    <row r="1178" spans="2:10" ht="12.75">
      <c r="B1178" s="603"/>
      <c r="C1178" s="1186"/>
      <c r="D1178" s="562"/>
      <c r="E1178" s="562"/>
      <c r="F1178" s="562"/>
      <c r="G1178" s="562"/>
      <c r="H1178" s="562"/>
      <c r="I1178" s="562"/>
      <c r="J1178" s="563"/>
    </row>
    <row r="1179" spans="2:10" ht="12.75">
      <c r="B1179" s="603"/>
      <c r="C1179" s="1186"/>
      <c r="D1179" s="562"/>
      <c r="E1179" s="562"/>
      <c r="F1179" s="562"/>
      <c r="G1179" s="562"/>
      <c r="H1179" s="562"/>
      <c r="I1179" s="562"/>
      <c r="J1179" s="563"/>
    </row>
    <row r="1180" spans="2:10" ht="12.75">
      <c r="B1180" s="603"/>
      <c r="C1180" s="1186"/>
      <c r="D1180" s="562"/>
      <c r="E1180" s="562"/>
      <c r="F1180" s="562"/>
      <c r="G1180" s="562"/>
      <c r="H1180" s="562"/>
      <c r="I1180" s="562"/>
      <c r="J1180" s="563"/>
    </row>
    <row r="1181" spans="2:10" ht="12.75">
      <c r="B1181" s="603"/>
      <c r="C1181" s="1186"/>
      <c r="D1181" s="562"/>
      <c r="E1181" s="562"/>
      <c r="F1181" s="562"/>
      <c r="G1181" s="562"/>
      <c r="H1181" s="562"/>
      <c r="I1181" s="562"/>
      <c r="J1181" s="563"/>
    </row>
    <row r="1182" spans="2:10" ht="12.75">
      <c r="B1182" s="603"/>
      <c r="C1182" s="1186"/>
      <c r="D1182" s="562"/>
      <c r="E1182" s="562"/>
      <c r="F1182" s="562"/>
      <c r="G1182" s="562"/>
      <c r="H1182" s="562"/>
      <c r="I1182" s="562"/>
      <c r="J1182" s="563"/>
    </row>
    <row r="1183" spans="2:10" ht="12.75">
      <c r="B1183" s="603"/>
      <c r="C1183" s="1186"/>
      <c r="D1183" s="562"/>
      <c r="E1183" s="562"/>
      <c r="F1183" s="562"/>
      <c r="G1183" s="562"/>
      <c r="H1183" s="562"/>
      <c r="I1183" s="562"/>
      <c r="J1183" s="563"/>
    </row>
    <row r="1184" spans="2:10" ht="12.75">
      <c r="B1184" s="603"/>
      <c r="C1184" s="1186"/>
      <c r="D1184" s="562"/>
      <c r="E1184" s="562"/>
      <c r="F1184" s="562"/>
      <c r="G1184" s="562"/>
      <c r="H1184" s="562"/>
      <c r="I1184" s="562"/>
      <c r="J1184" s="563"/>
    </row>
    <row r="1185" spans="2:10" ht="12.75">
      <c r="B1185" s="603"/>
      <c r="C1185" s="1186"/>
      <c r="D1185" s="562"/>
      <c r="E1185" s="562"/>
      <c r="F1185" s="562"/>
      <c r="G1185" s="562"/>
      <c r="H1185" s="562"/>
      <c r="I1185" s="562"/>
      <c r="J1185" s="563"/>
    </row>
    <row r="1186" spans="2:10" ht="12.75">
      <c r="B1186" s="603"/>
      <c r="C1186" s="1186"/>
      <c r="D1186" s="562"/>
      <c r="E1186" s="562"/>
      <c r="F1186" s="562"/>
      <c r="G1186" s="562"/>
      <c r="H1186" s="562"/>
      <c r="I1186" s="562"/>
      <c r="J1186" s="563"/>
    </row>
    <row r="1187" spans="2:10" ht="12.75">
      <c r="B1187" s="603"/>
      <c r="C1187" s="1186"/>
      <c r="D1187" s="562"/>
      <c r="E1187" s="562"/>
      <c r="F1187" s="562"/>
      <c r="G1187" s="562"/>
      <c r="H1187" s="562"/>
      <c r="I1187" s="562"/>
      <c r="J1187" s="563"/>
    </row>
    <row r="1188" spans="2:10" ht="12.75">
      <c r="B1188" s="603"/>
      <c r="C1188" s="1186"/>
      <c r="D1188" s="562"/>
      <c r="E1188" s="562"/>
      <c r="F1188" s="562"/>
      <c r="G1188" s="562"/>
      <c r="H1188" s="562"/>
      <c r="I1188" s="562"/>
      <c r="J1188" s="563"/>
    </row>
    <row r="1189" spans="2:10" ht="12.75">
      <c r="B1189" s="603"/>
      <c r="C1189" s="1186"/>
      <c r="D1189" s="562"/>
      <c r="E1189" s="562"/>
      <c r="F1189" s="562"/>
      <c r="G1189" s="562"/>
      <c r="H1189" s="562"/>
      <c r="I1189" s="562"/>
      <c r="J1189" s="563"/>
    </row>
    <row r="1190" spans="2:10" ht="12.75">
      <c r="B1190" s="603"/>
      <c r="C1190" s="1186"/>
      <c r="D1190" s="562"/>
      <c r="E1190" s="562"/>
      <c r="F1190" s="562"/>
      <c r="G1190" s="562"/>
      <c r="H1190" s="562"/>
      <c r="I1190" s="562"/>
      <c r="J1190" s="563"/>
    </row>
    <row r="1191" spans="2:10" ht="12.75">
      <c r="B1191" s="603"/>
      <c r="C1191" s="1186"/>
      <c r="D1191" s="562"/>
      <c r="E1191" s="562"/>
      <c r="F1191" s="562"/>
      <c r="G1191" s="562"/>
      <c r="H1191" s="562"/>
      <c r="I1191" s="562"/>
      <c r="J1191" s="563"/>
    </row>
    <row r="1192" spans="2:10" ht="12.75">
      <c r="B1192" s="603"/>
      <c r="C1192" s="1186"/>
      <c r="D1192" s="562"/>
      <c r="E1192" s="562"/>
      <c r="F1192" s="562"/>
      <c r="G1192" s="562"/>
      <c r="H1192" s="562"/>
      <c r="I1192" s="562"/>
      <c r="J1192" s="563"/>
    </row>
    <row r="1193" spans="2:10" ht="12.75">
      <c r="B1193" s="603"/>
      <c r="C1193" s="1186"/>
      <c r="D1193" s="562"/>
      <c r="E1193" s="562"/>
      <c r="F1193" s="562"/>
      <c r="G1193" s="562"/>
      <c r="H1193" s="562"/>
      <c r="I1193" s="562"/>
      <c r="J1193" s="563"/>
    </row>
    <row r="1194" spans="2:10" ht="12.75">
      <c r="B1194" s="603"/>
      <c r="C1194" s="1186"/>
      <c r="D1194" s="562"/>
      <c r="E1194" s="562"/>
      <c r="F1194" s="562"/>
      <c r="G1194" s="562"/>
      <c r="H1194" s="562"/>
      <c r="I1194" s="562"/>
      <c r="J1194" s="563"/>
    </row>
    <row r="1195" spans="2:10" ht="12.75">
      <c r="B1195" s="603"/>
      <c r="C1195" s="1186"/>
      <c r="D1195" s="562"/>
      <c r="E1195" s="562"/>
      <c r="F1195" s="562"/>
      <c r="G1195" s="562"/>
      <c r="H1195" s="562"/>
      <c r="I1195" s="562"/>
      <c r="J1195" s="563"/>
    </row>
    <row r="1196" spans="2:10" ht="12.75">
      <c r="B1196" s="603"/>
      <c r="C1196" s="1186"/>
      <c r="D1196" s="562"/>
      <c r="E1196" s="562"/>
      <c r="F1196" s="562"/>
      <c r="G1196" s="562"/>
      <c r="H1196" s="562"/>
      <c r="I1196" s="562"/>
      <c r="J1196" s="563"/>
    </row>
    <row r="1197" spans="2:10" ht="12.75">
      <c r="B1197" s="603"/>
      <c r="C1197" s="1186"/>
      <c r="D1197" s="562"/>
      <c r="E1197" s="562"/>
      <c r="F1197" s="562"/>
      <c r="G1197" s="562"/>
      <c r="H1197" s="562"/>
      <c r="I1197" s="562"/>
      <c r="J1197" s="563"/>
    </row>
    <row r="1198" spans="2:10" ht="12.75">
      <c r="B1198" s="603"/>
      <c r="C1198" s="1186"/>
      <c r="D1198" s="562"/>
      <c r="E1198" s="562"/>
      <c r="F1198" s="562"/>
      <c r="G1198" s="562"/>
      <c r="H1198" s="562"/>
      <c r="I1198" s="562"/>
      <c r="J1198" s="563"/>
    </row>
    <row r="1199" spans="2:10" ht="12.75">
      <c r="B1199" s="603"/>
      <c r="C1199" s="1186"/>
      <c r="D1199" s="562"/>
      <c r="E1199" s="562"/>
      <c r="F1199" s="562"/>
      <c r="G1199" s="562"/>
      <c r="H1199" s="562"/>
      <c r="I1199" s="562"/>
      <c r="J1199" s="563"/>
    </row>
    <row r="1200" spans="2:10" ht="12.75">
      <c r="B1200" s="603"/>
      <c r="C1200" s="1186"/>
      <c r="D1200" s="562"/>
      <c r="E1200" s="562"/>
      <c r="F1200" s="562"/>
      <c r="G1200" s="562"/>
      <c r="H1200" s="562"/>
      <c r="I1200" s="562"/>
      <c r="J1200" s="563"/>
    </row>
    <row r="1201" spans="2:10" ht="12.75">
      <c r="B1201" s="603"/>
      <c r="C1201" s="1186"/>
      <c r="D1201" s="562"/>
      <c r="E1201" s="562"/>
      <c r="F1201" s="562"/>
      <c r="G1201" s="562"/>
      <c r="H1201" s="562"/>
      <c r="I1201" s="562"/>
      <c r="J1201" s="563"/>
    </row>
    <row r="1202" spans="2:10" ht="12.75">
      <c r="B1202" s="603"/>
      <c r="C1202" s="1186"/>
      <c r="D1202" s="562"/>
      <c r="E1202" s="562"/>
      <c r="F1202" s="562"/>
      <c r="G1202" s="562"/>
      <c r="H1202" s="562"/>
      <c r="I1202" s="562"/>
      <c r="J1202" s="563"/>
    </row>
    <row r="1203" spans="2:10" ht="12.75">
      <c r="B1203" s="603"/>
      <c r="C1203" s="1186"/>
      <c r="D1203" s="562"/>
      <c r="E1203" s="562"/>
      <c r="F1203" s="562"/>
      <c r="G1203" s="562"/>
      <c r="H1203" s="562"/>
      <c r="I1203" s="562"/>
      <c r="J1203" s="563"/>
    </row>
    <row r="1204" spans="2:10" ht="12.75">
      <c r="B1204" s="603"/>
      <c r="C1204" s="1186"/>
      <c r="D1204" s="562"/>
      <c r="E1204" s="562"/>
      <c r="F1204" s="562"/>
      <c r="G1204" s="562"/>
      <c r="H1204" s="562"/>
      <c r="I1204" s="562"/>
      <c r="J1204" s="563"/>
    </row>
    <row r="1205" spans="2:10" ht="12.75">
      <c r="B1205" s="603"/>
      <c r="C1205" s="1186"/>
      <c r="D1205" s="562"/>
      <c r="E1205" s="562"/>
      <c r="F1205" s="562"/>
      <c r="G1205" s="562"/>
      <c r="H1205" s="562"/>
      <c r="I1205" s="562"/>
      <c r="J1205" s="563"/>
    </row>
    <row r="1206" spans="2:10" ht="12.75">
      <c r="B1206" s="603"/>
      <c r="C1206" s="1186"/>
      <c r="D1206" s="562"/>
      <c r="E1206" s="562"/>
      <c r="F1206" s="562"/>
      <c r="G1206" s="562"/>
      <c r="H1206" s="562"/>
      <c r="I1206" s="562"/>
      <c r="J1206" s="563"/>
    </row>
    <row r="1207" spans="2:10" ht="12.75">
      <c r="B1207" s="603"/>
      <c r="C1207" s="1186"/>
      <c r="D1207" s="562"/>
      <c r="E1207" s="562"/>
      <c r="F1207" s="562"/>
      <c r="G1207" s="562"/>
      <c r="H1207" s="562"/>
      <c r="I1207" s="562"/>
      <c r="J1207" s="563"/>
    </row>
    <row r="1208" spans="2:10" ht="12.75">
      <c r="B1208" s="603"/>
      <c r="C1208" s="1186"/>
      <c r="D1208" s="562"/>
      <c r="E1208" s="562"/>
      <c r="F1208" s="562"/>
      <c r="G1208" s="562"/>
      <c r="H1208" s="562"/>
      <c r="I1208" s="562"/>
      <c r="J1208" s="563"/>
    </row>
    <row r="1209" spans="2:10" ht="12.75">
      <c r="B1209" s="603"/>
      <c r="C1209" s="1186"/>
      <c r="D1209" s="562"/>
      <c r="E1209" s="562"/>
      <c r="F1209" s="562"/>
      <c r="G1209" s="562"/>
      <c r="H1209" s="562"/>
      <c r="I1209" s="562"/>
      <c r="J1209" s="563"/>
    </row>
    <row r="1210" spans="2:10" ht="12.75">
      <c r="B1210" s="603"/>
      <c r="C1210" s="1186"/>
      <c r="D1210" s="562"/>
      <c r="E1210" s="562"/>
      <c r="F1210" s="562"/>
      <c r="G1210" s="562"/>
      <c r="H1210" s="562"/>
      <c r="I1210" s="562"/>
      <c r="J1210" s="563"/>
    </row>
    <row r="1211" spans="2:10" ht="12.75">
      <c r="B1211" s="603"/>
      <c r="C1211" s="1186"/>
      <c r="D1211" s="562"/>
      <c r="E1211" s="562"/>
      <c r="F1211" s="562"/>
      <c r="G1211" s="562"/>
      <c r="H1211" s="562"/>
      <c r="I1211" s="562"/>
      <c r="J1211" s="563"/>
    </row>
    <row r="1212" spans="2:10" ht="12.75">
      <c r="B1212" s="603"/>
      <c r="C1212" s="1186"/>
      <c r="D1212" s="562"/>
      <c r="E1212" s="562"/>
      <c r="F1212" s="562"/>
      <c r="G1212" s="562"/>
      <c r="H1212" s="562"/>
      <c r="I1212" s="562"/>
      <c r="J1212" s="563"/>
    </row>
    <row r="1213" spans="2:10" ht="12.75">
      <c r="B1213" s="603"/>
      <c r="C1213" s="1186"/>
      <c r="D1213" s="562"/>
      <c r="E1213" s="562"/>
      <c r="F1213" s="562"/>
      <c r="G1213" s="562"/>
      <c r="H1213" s="562"/>
      <c r="I1213" s="562"/>
      <c r="J1213" s="563"/>
    </row>
    <row r="1214" spans="2:10" ht="12.75">
      <c r="B1214" s="603"/>
      <c r="C1214" s="1186"/>
      <c r="D1214" s="562"/>
      <c r="E1214" s="562"/>
      <c r="F1214" s="562"/>
      <c r="G1214" s="562"/>
      <c r="H1214" s="562"/>
      <c r="I1214" s="562"/>
      <c r="J1214" s="563"/>
    </row>
    <row r="1215" spans="2:10" ht="12.75">
      <c r="B1215" s="603"/>
      <c r="C1215" s="1186"/>
      <c r="D1215" s="562"/>
      <c r="E1215" s="562"/>
      <c r="F1215" s="562"/>
      <c r="G1215" s="562"/>
      <c r="H1215" s="562"/>
      <c r="I1215" s="562"/>
      <c r="J1215" s="563"/>
    </row>
    <row r="1216" spans="2:10" ht="12.75">
      <c r="B1216" s="603"/>
      <c r="C1216" s="1186"/>
      <c r="D1216" s="562"/>
      <c r="E1216" s="562"/>
      <c r="F1216" s="562"/>
      <c r="G1216" s="562"/>
      <c r="H1216" s="562"/>
      <c r="I1216" s="562"/>
      <c r="J1216" s="563"/>
    </row>
    <row r="1217" spans="2:10" ht="12.75">
      <c r="B1217" s="603"/>
      <c r="C1217" s="1186"/>
      <c r="D1217" s="562"/>
      <c r="E1217" s="562"/>
      <c r="F1217" s="562"/>
      <c r="G1217" s="562"/>
      <c r="H1217" s="562"/>
      <c r="I1217" s="562"/>
      <c r="J1217" s="563"/>
    </row>
    <row r="1218" spans="2:10" ht="12.75">
      <c r="B1218" s="603"/>
      <c r="C1218" s="1186"/>
      <c r="D1218" s="562"/>
      <c r="E1218" s="562"/>
      <c r="F1218" s="562"/>
      <c r="G1218" s="562"/>
      <c r="H1218" s="562"/>
      <c r="I1218" s="562"/>
      <c r="J1218" s="563"/>
    </row>
    <row r="1219" spans="2:10" ht="12.75">
      <c r="B1219" s="603"/>
      <c r="C1219" s="1186"/>
      <c r="D1219" s="562"/>
      <c r="E1219" s="562"/>
      <c r="F1219" s="562"/>
      <c r="G1219" s="562"/>
      <c r="H1219" s="562"/>
      <c r="I1219" s="562"/>
      <c r="J1219" s="563"/>
    </row>
    <row r="1220" spans="2:10" ht="12.75">
      <c r="B1220" s="603"/>
      <c r="C1220" s="1186"/>
      <c r="D1220" s="562"/>
      <c r="E1220" s="562"/>
      <c r="F1220" s="562"/>
      <c r="G1220" s="562"/>
      <c r="H1220" s="562"/>
      <c r="I1220" s="562"/>
      <c r="J1220" s="563"/>
    </row>
    <row r="1221" spans="2:10" ht="12.75">
      <c r="B1221" s="603"/>
      <c r="C1221" s="1186"/>
      <c r="D1221" s="562"/>
      <c r="E1221" s="562"/>
      <c r="F1221" s="562"/>
      <c r="G1221" s="562"/>
      <c r="H1221" s="562"/>
      <c r="I1221" s="562"/>
      <c r="J1221" s="563"/>
    </row>
    <row r="1222" spans="2:10" ht="12.75">
      <c r="B1222" s="603"/>
      <c r="C1222" s="1186"/>
      <c r="D1222" s="562"/>
      <c r="E1222" s="562"/>
      <c r="F1222" s="562"/>
      <c r="G1222" s="562"/>
      <c r="H1222" s="562"/>
      <c r="I1222" s="562"/>
      <c r="J1222" s="563"/>
    </row>
    <row r="1223" spans="2:10" ht="12.75">
      <c r="B1223" s="603"/>
      <c r="C1223" s="1186"/>
      <c r="D1223" s="562"/>
      <c r="E1223" s="562"/>
      <c r="F1223" s="562"/>
      <c r="G1223" s="562"/>
      <c r="H1223" s="562"/>
      <c r="I1223" s="562"/>
      <c r="J1223" s="563"/>
    </row>
    <row r="1224" spans="2:10" ht="12.75">
      <c r="B1224" s="603"/>
      <c r="C1224" s="1186"/>
      <c r="D1224" s="562"/>
      <c r="E1224" s="562"/>
      <c r="F1224" s="562"/>
      <c r="G1224" s="562"/>
      <c r="H1224" s="562"/>
      <c r="I1224" s="562"/>
      <c r="J1224" s="563"/>
    </row>
    <row r="1225" spans="2:10" ht="12.75">
      <c r="B1225" s="603"/>
      <c r="C1225" s="1186"/>
      <c r="D1225" s="562"/>
      <c r="E1225" s="562"/>
      <c r="F1225" s="562"/>
      <c r="G1225" s="562"/>
      <c r="H1225" s="562"/>
      <c r="I1225" s="562"/>
      <c r="J1225" s="563"/>
    </row>
    <row r="1226" spans="2:10" ht="12.75">
      <c r="B1226" s="603"/>
      <c r="C1226" s="1186"/>
      <c r="D1226" s="562"/>
      <c r="E1226" s="562"/>
      <c r="F1226" s="562"/>
      <c r="G1226" s="562"/>
      <c r="H1226" s="562"/>
      <c r="I1226" s="562"/>
      <c r="J1226" s="563"/>
    </row>
    <row r="1227" spans="2:10" ht="12.75">
      <c r="B1227" s="603"/>
      <c r="C1227" s="1186"/>
      <c r="D1227" s="562"/>
      <c r="E1227" s="562"/>
      <c r="F1227" s="562"/>
      <c r="G1227" s="562"/>
      <c r="H1227" s="562"/>
      <c r="I1227" s="562"/>
      <c r="J1227" s="563"/>
    </row>
    <row r="1228" spans="2:10" ht="12.75">
      <c r="B1228" s="603"/>
      <c r="C1228" s="1186"/>
      <c r="D1228" s="562"/>
      <c r="E1228" s="562"/>
      <c r="F1228" s="562"/>
      <c r="G1228" s="562"/>
      <c r="H1228" s="562"/>
      <c r="I1228" s="562"/>
      <c r="J1228" s="563"/>
    </row>
    <row r="1229" spans="2:10" ht="12.75">
      <c r="B1229" s="603"/>
      <c r="C1229" s="1186"/>
      <c r="D1229" s="562"/>
      <c r="E1229" s="562"/>
      <c r="F1229" s="562"/>
      <c r="G1229" s="562"/>
      <c r="H1229" s="562"/>
      <c r="I1229" s="562"/>
      <c r="J1229" s="563"/>
    </row>
    <row r="1230" spans="2:10" ht="12.75">
      <c r="B1230" s="603"/>
      <c r="C1230" s="1186"/>
      <c r="D1230" s="562"/>
      <c r="E1230" s="562"/>
      <c r="F1230" s="562"/>
      <c r="G1230" s="562"/>
      <c r="H1230" s="562"/>
      <c r="I1230" s="562"/>
      <c r="J1230" s="563"/>
    </row>
    <row r="1231" spans="2:10" ht="12.75">
      <c r="B1231" s="603"/>
      <c r="C1231" s="1186"/>
      <c r="D1231" s="562"/>
      <c r="E1231" s="562"/>
      <c r="F1231" s="562"/>
      <c r="G1231" s="562"/>
      <c r="H1231" s="562"/>
      <c r="I1231" s="562"/>
      <c r="J1231" s="563"/>
    </row>
    <row r="1232" spans="2:10" ht="12.75">
      <c r="B1232" s="603"/>
      <c r="C1232" s="1186"/>
      <c r="D1232" s="562"/>
      <c r="E1232" s="562"/>
      <c r="F1232" s="562"/>
      <c r="G1232" s="562"/>
      <c r="H1232" s="562"/>
      <c r="I1232" s="562"/>
      <c r="J1232" s="563"/>
    </row>
    <row r="1233" spans="2:10" ht="12.75">
      <c r="B1233" s="603"/>
      <c r="C1233" s="1186"/>
      <c r="D1233" s="562"/>
      <c r="E1233" s="562"/>
      <c r="F1233" s="562"/>
      <c r="G1233" s="562"/>
      <c r="H1233" s="562"/>
      <c r="I1233" s="562"/>
      <c r="J1233" s="563"/>
    </row>
    <row r="1234" spans="2:10" ht="12.75">
      <c r="B1234" s="603"/>
      <c r="C1234" s="1186"/>
      <c r="D1234" s="562"/>
      <c r="E1234" s="562"/>
      <c r="F1234" s="562"/>
      <c r="G1234" s="562"/>
      <c r="H1234" s="562"/>
      <c r="I1234" s="562"/>
      <c r="J1234" s="563"/>
    </row>
    <row r="1235" spans="2:10" ht="12.75">
      <c r="B1235" s="603"/>
      <c r="C1235" s="1186"/>
      <c r="D1235" s="562"/>
      <c r="E1235" s="562"/>
      <c r="F1235" s="562"/>
      <c r="G1235" s="562"/>
      <c r="H1235" s="562"/>
      <c r="I1235" s="562"/>
      <c r="J1235" s="563"/>
    </row>
    <row r="1236" spans="2:10" ht="12.75">
      <c r="B1236" s="603"/>
      <c r="C1236" s="1186"/>
      <c r="D1236" s="562"/>
      <c r="E1236" s="562"/>
      <c r="F1236" s="562"/>
      <c r="G1236" s="562"/>
      <c r="H1236" s="562"/>
      <c r="I1236" s="562"/>
      <c r="J1236" s="563"/>
    </row>
    <row r="1237" spans="2:10" ht="12.75">
      <c r="B1237" s="603"/>
      <c r="C1237" s="1186"/>
      <c r="D1237" s="562"/>
      <c r="E1237" s="562"/>
      <c r="F1237" s="562"/>
      <c r="G1237" s="562"/>
      <c r="H1237" s="562"/>
      <c r="I1237" s="562"/>
      <c r="J1237" s="563"/>
    </row>
    <row r="1238" spans="2:10" ht="12.75">
      <c r="B1238" s="603"/>
      <c r="C1238" s="1186"/>
      <c r="D1238" s="562"/>
      <c r="E1238" s="562"/>
      <c r="F1238" s="562"/>
      <c r="G1238" s="562"/>
      <c r="H1238" s="562"/>
      <c r="I1238" s="562"/>
      <c r="J1238" s="563"/>
    </row>
    <row r="1239" spans="2:10" ht="12.75">
      <c r="B1239" s="603"/>
      <c r="C1239" s="1186"/>
      <c r="D1239" s="562"/>
      <c r="E1239" s="562"/>
      <c r="F1239" s="562"/>
      <c r="G1239" s="562"/>
      <c r="H1239" s="562"/>
      <c r="I1239" s="562"/>
      <c r="J1239" s="563"/>
    </row>
    <row r="1240" spans="2:10" ht="12.75">
      <c r="B1240" s="603"/>
      <c r="C1240" s="1186"/>
      <c r="D1240" s="562"/>
      <c r="E1240" s="562"/>
      <c r="F1240" s="562"/>
      <c r="G1240" s="562"/>
      <c r="H1240" s="562"/>
      <c r="I1240" s="562"/>
      <c r="J1240" s="563"/>
    </row>
    <row r="1241" spans="2:10" ht="12.75">
      <c r="B1241" s="603"/>
      <c r="C1241" s="1186"/>
      <c r="D1241" s="562"/>
      <c r="E1241" s="562"/>
      <c r="F1241" s="562"/>
      <c r="G1241" s="562"/>
      <c r="H1241" s="562"/>
      <c r="I1241" s="562"/>
      <c r="J1241" s="563"/>
    </row>
    <row r="1242" spans="2:10" ht="12.75">
      <c r="B1242" s="603"/>
      <c r="C1242" s="1186"/>
      <c r="D1242" s="562"/>
      <c r="E1242" s="562"/>
      <c r="F1242" s="562"/>
      <c r="G1242" s="562"/>
      <c r="H1242" s="562"/>
      <c r="I1242" s="562"/>
      <c r="J1242" s="563"/>
    </row>
    <row r="1243" spans="2:10" ht="12.75">
      <c r="B1243" s="603"/>
      <c r="C1243" s="1186"/>
      <c r="D1243" s="562"/>
      <c r="E1243" s="562"/>
      <c r="F1243" s="562"/>
      <c r="G1243" s="562"/>
      <c r="H1243" s="562"/>
      <c r="I1243" s="562"/>
      <c r="J1243" s="563"/>
    </row>
    <row r="1244" spans="2:10" ht="12.75">
      <c r="B1244" s="603"/>
      <c r="C1244" s="1186"/>
      <c r="D1244" s="562"/>
      <c r="E1244" s="562"/>
      <c r="F1244" s="562"/>
      <c r="G1244" s="562"/>
      <c r="H1244" s="562"/>
      <c r="I1244" s="562"/>
      <c r="J1244" s="563"/>
    </row>
    <row r="1245" spans="2:10" ht="12.75">
      <c r="B1245" s="603"/>
      <c r="C1245" s="1186"/>
      <c r="D1245" s="562"/>
      <c r="E1245" s="562"/>
      <c r="F1245" s="562"/>
      <c r="G1245" s="562"/>
      <c r="H1245" s="562"/>
      <c r="I1245" s="562"/>
      <c r="J1245" s="563"/>
    </row>
    <row r="1246" spans="2:10" ht="12.75">
      <c r="B1246" s="603"/>
      <c r="C1246" s="1186"/>
      <c r="D1246" s="562"/>
      <c r="E1246" s="562"/>
      <c r="F1246" s="562"/>
      <c r="G1246" s="562"/>
      <c r="H1246" s="562"/>
      <c r="I1246" s="562"/>
      <c r="J1246" s="563"/>
    </row>
    <row r="1247" spans="2:10" ht="12.75">
      <c r="B1247" s="603"/>
      <c r="C1247" s="1186"/>
      <c r="D1247" s="562"/>
      <c r="E1247" s="562"/>
      <c r="F1247" s="562"/>
      <c r="G1247" s="562"/>
      <c r="H1247" s="562"/>
      <c r="I1247" s="562"/>
      <c r="J1247" s="563"/>
    </row>
    <row r="1248" spans="2:10" ht="12.75">
      <c r="B1248" s="603"/>
      <c r="C1248" s="1186"/>
      <c r="D1248" s="562"/>
      <c r="E1248" s="562"/>
      <c r="F1248" s="562"/>
      <c r="G1248" s="562"/>
      <c r="H1248" s="562"/>
      <c r="I1248" s="562"/>
      <c r="J1248" s="563"/>
    </row>
    <row r="1249" spans="2:10" ht="12.75">
      <c r="B1249" s="603"/>
      <c r="C1249" s="1186"/>
      <c r="D1249" s="562"/>
      <c r="E1249" s="562"/>
      <c r="F1249" s="562"/>
      <c r="G1249" s="562"/>
      <c r="H1249" s="562"/>
      <c r="I1249" s="562"/>
      <c r="J1249" s="563"/>
    </row>
    <row r="1250" spans="2:10" ht="12.75">
      <c r="B1250" s="603"/>
      <c r="C1250" s="1186"/>
      <c r="D1250" s="562"/>
      <c r="E1250" s="562"/>
      <c r="F1250" s="562"/>
      <c r="G1250" s="562"/>
      <c r="H1250" s="562"/>
      <c r="I1250" s="562"/>
      <c r="J1250" s="563"/>
    </row>
    <row r="1251" spans="2:10" ht="12.75">
      <c r="B1251" s="603"/>
      <c r="C1251" s="1186"/>
      <c r="D1251" s="562"/>
      <c r="E1251" s="562"/>
      <c r="F1251" s="562"/>
      <c r="G1251" s="562"/>
      <c r="H1251" s="562"/>
      <c r="I1251" s="562"/>
      <c r="J1251" s="563"/>
    </row>
    <row r="1252" spans="2:10" ht="12.75">
      <c r="B1252" s="603"/>
      <c r="C1252" s="1186"/>
      <c r="D1252" s="562"/>
      <c r="E1252" s="562"/>
      <c r="F1252" s="562"/>
      <c r="G1252" s="562"/>
      <c r="H1252" s="562"/>
      <c r="I1252" s="562"/>
      <c r="J1252" s="563"/>
    </row>
    <row r="1253" spans="2:10" ht="12.75">
      <c r="B1253" s="603"/>
      <c r="C1253" s="1186"/>
      <c r="D1253" s="562"/>
      <c r="E1253" s="562"/>
      <c r="F1253" s="562"/>
      <c r="G1253" s="562"/>
      <c r="H1253" s="562"/>
      <c r="I1253" s="562"/>
      <c r="J1253" s="563"/>
    </row>
    <row r="1254" spans="2:10" ht="12.75">
      <c r="B1254" s="603"/>
      <c r="C1254" s="1186"/>
      <c r="D1254" s="562"/>
      <c r="E1254" s="562"/>
      <c r="F1254" s="562"/>
      <c r="G1254" s="562"/>
      <c r="H1254" s="562"/>
      <c r="I1254" s="562"/>
      <c r="J1254" s="563"/>
    </row>
    <row r="1255" spans="2:10" ht="12.75">
      <c r="B1255" s="603"/>
      <c r="C1255" s="1186"/>
      <c r="D1255" s="562"/>
      <c r="E1255" s="562"/>
      <c r="F1255" s="562"/>
      <c r="G1255" s="562"/>
      <c r="H1255" s="562"/>
      <c r="I1255" s="562"/>
      <c r="J1255" s="563"/>
    </row>
    <row r="1256" spans="2:10" ht="12.75">
      <c r="B1256" s="603"/>
      <c r="C1256" s="1186"/>
      <c r="D1256" s="562"/>
      <c r="E1256" s="562"/>
      <c r="F1256" s="562"/>
      <c r="G1256" s="562"/>
      <c r="H1256" s="562"/>
      <c r="I1256" s="562"/>
      <c r="J1256" s="563"/>
    </row>
    <row r="1257" spans="2:10" ht="12.75">
      <c r="B1257" s="603"/>
      <c r="C1257" s="1186"/>
      <c r="D1257" s="562"/>
      <c r="E1257" s="562"/>
      <c r="F1257" s="562"/>
      <c r="G1257" s="562"/>
      <c r="H1257" s="562"/>
      <c r="I1257" s="562"/>
      <c r="J1257" s="563"/>
    </row>
    <row r="1258" spans="2:10" ht="12.75">
      <c r="B1258" s="603"/>
      <c r="C1258" s="1186"/>
      <c r="D1258" s="562"/>
      <c r="E1258" s="562"/>
      <c r="F1258" s="562"/>
      <c r="G1258" s="562"/>
      <c r="H1258" s="562"/>
      <c r="I1258" s="562"/>
      <c r="J1258" s="563"/>
    </row>
    <row r="1259" spans="2:10" ht="12.75">
      <c r="B1259" s="603"/>
      <c r="C1259" s="1186"/>
      <c r="D1259" s="562"/>
      <c r="E1259" s="562"/>
      <c r="F1259" s="562"/>
      <c r="G1259" s="562"/>
      <c r="H1259" s="562"/>
      <c r="I1259" s="562"/>
      <c r="J1259" s="563"/>
    </row>
    <row r="1260" spans="2:10" ht="12.75">
      <c r="B1260" s="603"/>
      <c r="C1260" s="1186"/>
      <c r="D1260" s="562"/>
      <c r="E1260" s="562"/>
      <c r="F1260" s="562"/>
      <c r="G1260" s="562"/>
      <c r="H1260" s="562"/>
      <c r="I1260" s="562"/>
      <c r="J1260" s="563"/>
    </row>
    <row r="1261" spans="2:10" ht="12.75">
      <c r="B1261" s="603"/>
      <c r="C1261" s="1186"/>
      <c r="D1261" s="562"/>
      <c r="E1261" s="562"/>
      <c r="F1261" s="562"/>
      <c r="G1261" s="562"/>
      <c r="H1261" s="562"/>
      <c r="I1261" s="562"/>
      <c r="J1261" s="563"/>
    </row>
    <row r="1262" spans="2:10" ht="12.75">
      <c r="B1262" s="603"/>
      <c r="C1262" s="1186"/>
      <c r="D1262" s="562"/>
      <c r="E1262" s="562"/>
      <c r="F1262" s="562"/>
      <c r="G1262" s="562"/>
      <c r="H1262" s="562"/>
      <c r="I1262" s="562"/>
      <c r="J1262" s="563"/>
    </row>
    <row r="1263" spans="2:10" ht="12.75">
      <c r="B1263" s="603"/>
      <c r="C1263" s="1186"/>
      <c r="D1263" s="562"/>
      <c r="E1263" s="562"/>
      <c r="F1263" s="562"/>
      <c r="G1263" s="562"/>
      <c r="H1263" s="562"/>
      <c r="I1263" s="562"/>
      <c r="J1263" s="563"/>
    </row>
    <row r="1264" spans="2:10" ht="12.75">
      <c r="B1264" s="603"/>
      <c r="C1264" s="1186"/>
      <c r="D1264" s="562"/>
      <c r="E1264" s="562"/>
      <c r="F1264" s="562"/>
      <c r="G1264" s="562"/>
      <c r="H1264" s="562"/>
      <c r="I1264" s="562"/>
      <c r="J1264" s="563"/>
    </row>
    <row r="1265" spans="2:10" ht="12.75">
      <c r="B1265" s="603"/>
      <c r="C1265" s="1186"/>
      <c r="D1265" s="562"/>
      <c r="E1265" s="562"/>
      <c r="F1265" s="562"/>
      <c r="G1265" s="562"/>
      <c r="H1265" s="562"/>
      <c r="I1265" s="562"/>
      <c r="J1265" s="563"/>
    </row>
    <row r="1266" spans="2:10" ht="12.75">
      <c r="B1266" s="603"/>
      <c r="C1266" s="1186"/>
      <c r="D1266" s="562"/>
      <c r="E1266" s="562"/>
      <c r="F1266" s="562"/>
      <c r="G1266" s="562"/>
      <c r="H1266" s="562"/>
      <c r="I1266" s="562"/>
      <c r="J1266" s="563"/>
    </row>
    <row r="1267" spans="2:10" ht="12.75">
      <c r="B1267" s="603"/>
      <c r="C1267" s="1186"/>
      <c r="D1267" s="562"/>
      <c r="E1267" s="562"/>
      <c r="F1267" s="562"/>
      <c r="G1267" s="562"/>
      <c r="H1267" s="562"/>
      <c r="I1267" s="562"/>
      <c r="J1267" s="563"/>
    </row>
    <row r="1268" spans="2:10" ht="12.75">
      <c r="B1268" s="603"/>
      <c r="C1268" s="1186"/>
      <c r="D1268" s="562"/>
      <c r="E1268" s="562"/>
      <c r="F1268" s="562"/>
      <c r="G1268" s="562"/>
      <c r="H1268" s="562"/>
      <c r="I1268" s="562"/>
      <c r="J1268" s="563"/>
    </row>
    <row r="1269" spans="2:10" ht="12.75">
      <c r="B1269" s="603"/>
      <c r="C1269" s="1186"/>
      <c r="D1269" s="562"/>
      <c r="E1269" s="562"/>
      <c r="F1269" s="562"/>
      <c r="G1269" s="562"/>
      <c r="H1269" s="562"/>
      <c r="I1269" s="562"/>
      <c r="J1269" s="563"/>
    </row>
    <row r="1270" spans="2:10" ht="12.75">
      <c r="B1270" s="603"/>
      <c r="C1270" s="1186"/>
      <c r="D1270" s="562"/>
      <c r="E1270" s="562"/>
      <c r="F1270" s="562"/>
      <c r="G1270" s="562"/>
      <c r="H1270" s="562"/>
      <c r="I1270" s="562"/>
      <c r="J1270" s="563"/>
    </row>
    <row r="1271" spans="2:10" ht="12.75">
      <c r="B1271" s="603"/>
      <c r="C1271" s="1186"/>
      <c r="D1271" s="562"/>
      <c r="E1271" s="562"/>
      <c r="F1271" s="562"/>
      <c r="G1271" s="562"/>
      <c r="H1271" s="562"/>
      <c r="I1271" s="562"/>
      <c r="J1271" s="563"/>
    </row>
    <row r="1272" spans="2:10" ht="12.75">
      <c r="B1272" s="603"/>
      <c r="C1272" s="1186"/>
      <c r="D1272" s="562"/>
      <c r="E1272" s="562"/>
      <c r="F1272" s="562"/>
      <c r="G1272" s="562"/>
      <c r="H1272" s="562"/>
      <c r="I1272" s="562"/>
      <c r="J1272" s="563"/>
    </row>
    <row r="1273" spans="2:10" ht="12.75">
      <c r="B1273" s="603"/>
      <c r="C1273" s="1186"/>
      <c r="D1273" s="562"/>
      <c r="E1273" s="562"/>
      <c r="F1273" s="562"/>
      <c r="G1273" s="562"/>
      <c r="H1273" s="562"/>
      <c r="I1273" s="562"/>
      <c r="J1273" s="563"/>
    </row>
    <row r="1274" spans="2:10" ht="12.75">
      <c r="B1274" s="603"/>
      <c r="C1274" s="1186"/>
      <c r="D1274" s="562"/>
      <c r="E1274" s="562"/>
      <c r="F1274" s="562"/>
      <c r="G1274" s="562"/>
      <c r="H1274" s="562"/>
      <c r="I1274" s="562"/>
      <c r="J1274" s="563"/>
    </row>
    <row r="1275" spans="2:10" ht="12.75">
      <c r="B1275" s="603"/>
      <c r="C1275" s="1186"/>
      <c r="D1275" s="562"/>
      <c r="E1275" s="562"/>
      <c r="F1275" s="562"/>
      <c r="G1275" s="562"/>
      <c r="H1275" s="562"/>
      <c r="I1275" s="562"/>
      <c r="J1275" s="563"/>
    </row>
    <row r="1276" spans="2:10" ht="12.75">
      <c r="B1276" s="603"/>
      <c r="C1276" s="1186"/>
      <c r="D1276" s="562"/>
      <c r="E1276" s="562"/>
      <c r="F1276" s="562"/>
      <c r="G1276" s="562"/>
      <c r="H1276" s="562"/>
      <c r="I1276" s="562"/>
      <c r="J1276" s="563"/>
    </row>
    <row r="1277" spans="2:10" ht="12.75">
      <c r="B1277" s="603"/>
      <c r="C1277" s="1186"/>
      <c r="D1277" s="562"/>
      <c r="E1277" s="562"/>
      <c r="F1277" s="562"/>
      <c r="G1277" s="562"/>
      <c r="H1277" s="562"/>
      <c r="I1277" s="562"/>
      <c r="J1277" s="563"/>
    </row>
    <row r="1278" spans="2:10" ht="12.75">
      <c r="B1278" s="603"/>
      <c r="C1278" s="1186"/>
      <c r="D1278" s="562"/>
      <c r="E1278" s="562"/>
      <c r="F1278" s="562"/>
      <c r="G1278" s="562"/>
      <c r="H1278" s="562"/>
      <c r="I1278" s="562"/>
      <c r="J1278" s="563"/>
    </row>
    <row r="1279" spans="2:10" ht="12.75">
      <c r="B1279" s="603"/>
      <c r="C1279" s="1186"/>
      <c r="D1279" s="562"/>
      <c r="E1279" s="562"/>
      <c r="F1279" s="562"/>
      <c r="G1279" s="562"/>
      <c r="H1279" s="562"/>
      <c r="I1279" s="562"/>
      <c r="J1279" s="563"/>
    </row>
    <row r="1280" spans="2:10" ht="12.75">
      <c r="B1280" s="603"/>
      <c r="C1280" s="1186"/>
      <c r="D1280" s="562"/>
      <c r="E1280" s="562"/>
      <c r="F1280" s="562"/>
      <c r="G1280" s="562"/>
      <c r="H1280" s="562"/>
      <c r="I1280" s="562"/>
      <c r="J1280" s="563"/>
    </row>
    <row r="1281" spans="2:10" ht="12.75">
      <c r="B1281" s="603"/>
      <c r="C1281" s="1186"/>
      <c r="D1281" s="562"/>
      <c r="E1281" s="562"/>
      <c r="F1281" s="562"/>
      <c r="G1281" s="562"/>
      <c r="H1281" s="562"/>
      <c r="I1281" s="562"/>
      <c r="J1281" s="563"/>
    </row>
    <row r="1282" spans="2:10" ht="12.75">
      <c r="B1282" s="603"/>
      <c r="C1282" s="1186"/>
      <c r="D1282" s="562"/>
      <c r="E1282" s="562"/>
      <c r="F1282" s="562"/>
      <c r="G1282" s="562"/>
      <c r="H1282" s="562"/>
      <c r="I1282" s="562"/>
      <c r="J1282" s="563"/>
    </row>
    <row r="1283" spans="2:10" ht="12.75">
      <c r="B1283" s="603"/>
      <c r="C1283" s="1186"/>
      <c r="D1283" s="562"/>
      <c r="E1283" s="562"/>
      <c r="F1283" s="562"/>
      <c r="G1283" s="562"/>
      <c r="H1283" s="562"/>
      <c r="I1283" s="562"/>
      <c r="J1283" s="563"/>
    </row>
    <row r="1284" spans="2:10" ht="12.75">
      <c r="B1284" s="603"/>
      <c r="C1284" s="1186"/>
      <c r="D1284" s="562"/>
      <c r="E1284" s="562"/>
      <c r="F1284" s="562"/>
      <c r="G1284" s="562"/>
      <c r="H1284" s="562"/>
      <c r="I1284" s="562"/>
      <c r="J1284" s="563"/>
    </row>
    <row r="1285" spans="2:10" ht="12.75">
      <c r="B1285" s="603"/>
      <c r="C1285" s="1186"/>
      <c r="D1285" s="562"/>
      <c r="E1285" s="562"/>
      <c r="F1285" s="562"/>
      <c r="G1285" s="562"/>
      <c r="H1285" s="562"/>
      <c r="I1285" s="562"/>
      <c r="J1285" s="563"/>
    </row>
    <row r="1286" spans="2:10" ht="12.75">
      <c r="B1286" s="603"/>
      <c r="C1286" s="1186"/>
      <c r="D1286" s="562"/>
      <c r="E1286" s="562"/>
      <c r="F1286" s="562"/>
      <c r="G1286" s="562"/>
      <c r="H1286" s="562"/>
      <c r="I1286" s="562"/>
      <c r="J1286" s="563"/>
    </row>
    <row r="1287" spans="2:10" ht="12.75">
      <c r="B1287" s="603"/>
      <c r="C1287" s="1186"/>
      <c r="D1287" s="562"/>
      <c r="E1287" s="562"/>
      <c r="F1287" s="562"/>
      <c r="G1287" s="562"/>
      <c r="H1287" s="562"/>
      <c r="I1287" s="562"/>
      <c r="J1287" s="563"/>
    </row>
    <row r="1288" spans="2:10" ht="12.75">
      <c r="B1288" s="603"/>
      <c r="C1288" s="1186"/>
      <c r="D1288" s="562"/>
      <c r="E1288" s="562"/>
      <c r="F1288" s="562"/>
      <c r="G1288" s="562"/>
      <c r="H1288" s="562"/>
      <c r="I1288" s="562"/>
      <c r="J1288" s="563"/>
    </row>
    <row r="1289" spans="2:10" ht="12.75">
      <c r="B1289" s="603"/>
      <c r="C1289" s="1186"/>
      <c r="D1289" s="562"/>
      <c r="E1289" s="562"/>
      <c r="F1289" s="562"/>
      <c r="G1289" s="562"/>
      <c r="H1289" s="562"/>
      <c r="I1289" s="562"/>
      <c r="J1289" s="563"/>
    </row>
    <row r="1290" spans="2:10" ht="12.75">
      <c r="B1290" s="603"/>
      <c r="C1290" s="1186"/>
      <c r="D1290" s="562"/>
      <c r="E1290" s="562"/>
      <c r="F1290" s="562"/>
      <c r="G1290" s="562"/>
      <c r="H1290" s="562"/>
      <c r="I1290" s="562"/>
      <c r="J1290" s="563"/>
    </row>
    <row r="1291" spans="2:10" ht="12.75">
      <c r="B1291" s="603"/>
      <c r="C1291" s="1186"/>
      <c r="D1291" s="562"/>
      <c r="E1291" s="562"/>
      <c r="F1291" s="562"/>
      <c r="G1291" s="562"/>
      <c r="H1291" s="562"/>
      <c r="I1291" s="562"/>
      <c r="J1291" s="563"/>
    </row>
    <row r="1292" spans="2:10" ht="12.75">
      <c r="B1292" s="603"/>
      <c r="C1292" s="1186"/>
      <c r="D1292" s="562"/>
      <c r="E1292" s="562"/>
      <c r="F1292" s="562"/>
      <c r="G1292" s="562"/>
      <c r="H1292" s="562"/>
      <c r="I1292" s="562"/>
      <c r="J1292" s="563"/>
    </row>
    <row r="1293" spans="2:10" ht="12.75">
      <c r="B1293" s="603"/>
      <c r="C1293" s="1186"/>
      <c r="D1293" s="562"/>
      <c r="E1293" s="562"/>
      <c r="F1293" s="562"/>
      <c r="G1293" s="562"/>
      <c r="H1293" s="562"/>
      <c r="I1293" s="562"/>
      <c r="J1293" s="563"/>
    </row>
    <row r="1294" spans="2:10" ht="12.75">
      <c r="B1294" s="603"/>
      <c r="C1294" s="1186"/>
      <c r="D1294" s="562"/>
      <c r="E1294" s="562"/>
      <c r="F1294" s="562"/>
      <c r="G1294" s="562"/>
      <c r="H1294" s="562"/>
      <c r="I1294" s="562"/>
      <c r="J1294" s="563"/>
    </row>
    <row r="1295" spans="2:10" ht="12.75">
      <c r="B1295" s="603"/>
      <c r="C1295" s="1186"/>
      <c r="D1295" s="562"/>
      <c r="E1295" s="562"/>
      <c r="F1295" s="562"/>
      <c r="G1295" s="562"/>
      <c r="H1295" s="562"/>
      <c r="I1295" s="562"/>
      <c r="J1295" s="563"/>
    </row>
    <row r="1296" spans="2:10" ht="12.75">
      <c r="B1296" s="603"/>
      <c r="C1296" s="1186"/>
      <c r="D1296" s="562"/>
      <c r="E1296" s="562"/>
      <c r="F1296" s="562"/>
      <c r="G1296" s="562"/>
      <c r="H1296" s="562"/>
      <c r="I1296" s="562"/>
      <c r="J1296" s="563"/>
    </row>
    <row r="1297" spans="2:10" ht="12.75">
      <c r="B1297" s="603"/>
      <c r="C1297" s="1186"/>
      <c r="D1297" s="562"/>
      <c r="E1297" s="562"/>
      <c r="F1297" s="562"/>
      <c r="G1297" s="562"/>
      <c r="H1297" s="562"/>
      <c r="I1297" s="562"/>
      <c r="J1297" s="563"/>
    </row>
    <row r="1298" spans="2:10" ht="12.75">
      <c r="B1298" s="603"/>
      <c r="C1298" s="1186"/>
      <c r="D1298" s="562"/>
      <c r="E1298" s="562"/>
      <c r="F1298" s="562"/>
      <c r="G1298" s="562"/>
      <c r="H1298" s="562"/>
      <c r="I1298" s="562"/>
      <c r="J1298" s="563"/>
    </row>
    <row r="1299" spans="2:10" ht="12.75">
      <c r="B1299" s="603"/>
      <c r="C1299" s="1186"/>
      <c r="D1299" s="562"/>
      <c r="E1299" s="562"/>
      <c r="F1299" s="562"/>
      <c r="G1299" s="562"/>
      <c r="H1299" s="562"/>
      <c r="I1299" s="562"/>
      <c r="J1299" s="563"/>
    </row>
    <row r="1300" spans="2:10" ht="12.75">
      <c r="B1300" s="603"/>
      <c r="C1300" s="1186"/>
      <c r="D1300" s="562"/>
      <c r="E1300" s="562"/>
      <c r="F1300" s="562"/>
      <c r="G1300" s="562"/>
      <c r="H1300" s="562"/>
      <c r="I1300" s="562"/>
      <c r="J1300" s="563"/>
    </row>
    <row r="1301" spans="2:10" ht="12.75">
      <c r="B1301" s="603"/>
      <c r="C1301" s="1186"/>
      <c r="D1301" s="562"/>
      <c r="E1301" s="562"/>
      <c r="F1301" s="562"/>
      <c r="G1301" s="562"/>
      <c r="H1301" s="562"/>
      <c r="I1301" s="562"/>
      <c r="J1301" s="563"/>
    </row>
    <row r="1302" spans="2:10" ht="12.75">
      <c r="B1302" s="603"/>
      <c r="C1302" s="1186"/>
      <c r="D1302" s="562"/>
      <c r="E1302" s="562"/>
      <c r="F1302" s="562"/>
      <c r="G1302" s="562"/>
      <c r="H1302" s="562"/>
      <c r="I1302" s="562"/>
      <c r="J1302" s="563"/>
    </row>
    <row r="1303" spans="2:10" ht="12.75">
      <c r="B1303" s="603"/>
      <c r="C1303" s="1186"/>
      <c r="D1303" s="562"/>
      <c r="E1303" s="562"/>
      <c r="F1303" s="562"/>
      <c r="G1303" s="562"/>
      <c r="H1303" s="562"/>
      <c r="I1303" s="562"/>
      <c r="J1303" s="563"/>
    </row>
    <row r="1304" spans="2:10" ht="12.75">
      <c r="B1304" s="603"/>
      <c r="C1304" s="1186"/>
      <c r="D1304" s="562"/>
      <c r="E1304" s="562"/>
      <c r="F1304" s="562"/>
      <c r="G1304" s="562"/>
      <c r="H1304" s="562"/>
      <c r="I1304" s="562"/>
      <c r="J1304" s="563"/>
    </row>
    <row r="1305" spans="2:10" ht="12.75">
      <c r="B1305" s="603"/>
      <c r="C1305" s="1186"/>
      <c r="D1305" s="562"/>
      <c r="E1305" s="562"/>
      <c r="F1305" s="562"/>
      <c r="G1305" s="562"/>
      <c r="H1305" s="562"/>
      <c r="I1305" s="562"/>
      <c r="J1305" s="563"/>
    </row>
    <row r="1306" spans="2:10" ht="12.75">
      <c r="B1306" s="603"/>
      <c r="C1306" s="1186"/>
      <c r="D1306" s="562"/>
      <c r="E1306" s="562"/>
      <c r="F1306" s="562"/>
      <c r="G1306" s="562"/>
      <c r="H1306" s="562"/>
      <c r="I1306" s="562"/>
      <c r="J1306" s="563"/>
    </row>
    <row r="1307" spans="2:10" ht="12.75">
      <c r="B1307" s="603"/>
      <c r="C1307" s="1186"/>
      <c r="D1307" s="562"/>
      <c r="E1307" s="562"/>
      <c r="F1307" s="562"/>
      <c r="G1307" s="562"/>
      <c r="H1307" s="562"/>
      <c r="I1307" s="562"/>
      <c r="J1307" s="563"/>
    </row>
    <row r="1308" spans="2:10" ht="12.75">
      <c r="B1308" s="603"/>
      <c r="C1308" s="1186"/>
      <c r="D1308" s="562"/>
      <c r="E1308" s="562"/>
      <c r="F1308" s="562"/>
      <c r="G1308" s="562"/>
      <c r="H1308" s="562"/>
      <c r="I1308" s="562"/>
      <c r="J1308" s="563"/>
    </row>
    <row r="1309" spans="2:10" ht="12.75">
      <c r="B1309" s="603"/>
      <c r="C1309" s="1186"/>
      <c r="D1309" s="562"/>
      <c r="E1309" s="562"/>
      <c r="F1309" s="562"/>
      <c r="G1309" s="562"/>
      <c r="H1309" s="562"/>
      <c r="I1309" s="562"/>
      <c r="J1309" s="563"/>
    </row>
    <row r="1310" spans="2:10" ht="12.75">
      <c r="B1310" s="603"/>
      <c r="C1310" s="1186"/>
      <c r="D1310" s="562"/>
      <c r="E1310" s="562"/>
      <c r="F1310" s="562"/>
      <c r="G1310" s="562"/>
      <c r="H1310" s="562"/>
      <c r="I1310" s="562"/>
      <c r="J1310" s="563"/>
    </row>
    <row r="1311" spans="2:10" ht="12.75">
      <c r="B1311" s="603"/>
      <c r="C1311" s="1186"/>
      <c r="D1311" s="562"/>
      <c r="E1311" s="562"/>
      <c r="F1311" s="562"/>
      <c r="G1311" s="562"/>
      <c r="H1311" s="562"/>
      <c r="I1311" s="562"/>
      <c r="J1311" s="563"/>
    </row>
    <row r="1312" spans="2:10" ht="12.75">
      <c r="B1312" s="603"/>
      <c r="C1312" s="1186"/>
      <c r="D1312" s="562"/>
      <c r="E1312" s="562"/>
      <c r="F1312" s="562"/>
      <c r="G1312" s="562"/>
      <c r="H1312" s="562"/>
      <c r="I1312" s="562"/>
      <c r="J1312" s="563"/>
    </row>
    <row r="1313" spans="2:10" ht="12.75">
      <c r="B1313" s="603"/>
      <c r="C1313" s="1186"/>
      <c r="D1313" s="562"/>
      <c r="E1313" s="562"/>
      <c r="F1313" s="562"/>
      <c r="G1313" s="562"/>
      <c r="H1313" s="562"/>
      <c r="I1313" s="562"/>
      <c r="J1313" s="563"/>
    </row>
    <row r="1314" spans="2:10" ht="12.75">
      <c r="B1314" s="603"/>
      <c r="C1314" s="1186"/>
      <c r="D1314" s="562"/>
      <c r="E1314" s="562"/>
      <c r="F1314" s="562"/>
      <c r="G1314" s="562"/>
      <c r="H1314" s="562"/>
      <c r="I1314" s="562"/>
      <c r="J1314" s="563"/>
    </row>
    <row r="1315" spans="2:10" ht="12.75">
      <c r="B1315" s="603"/>
      <c r="C1315" s="1186"/>
      <c r="D1315" s="562"/>
      <c r="E1315" s="562"/>
      <c r="F1315" s="562"/>
      <c r="G1315" s="562"/>
      <c r="H1315" s="562"/>
      <c r="I1315" s="562"/>
      <c r="J1315" s="563"/>
    </row>
    <row r="1316" spans="2:10" ht="12.75">
      <c r="B1316" s="603"/>
      <c r="C1316" s="1186"/>
      <c r="D1316" s="562"/>
      <c r="E1316" s="562"/>
      <c r="F1316" s="562"/>
      <c r="G1316" s="562"/>
      <c r="H1316" s="562"/>
      <c r="I1316" s="562"/>
      <c r="J1316" s="563"/>
    </row>
    <row r="1317" spans="2:10" ht="12.75">
      <c r="B1317" s="603"/>
      <c r="C1317" s="1186"/>
      <c r="D1317" s="562"/>
      <c r="E1317" s="562"/>
      <c r="F1317" s="562"/>
      <c r="G1317" s="562"/>
      <c r="H1317" s="562"/>
      <c r="I1317" s="562"/>
      <c r="J1317" s="563"/>
    </row>
    <row r="1318" spans="2:10" ht="12.75">
      <c r="B1318" s="603"/>
      <c r="C1318" s="1186"/>
      <c r="D1318" s="562"/>
      <c r="E1318" s="562"/>
      <c r="F1318" s="562"/>
      <c r="G1318" s="562"/>
      <c r="H1318" s="562"/>
      <c r="I1318" s="562"/>
      <c r="J1318" s="563"/>
    </row>
    <row r="1319" spans="2:10" ht="12.75">
      <c r="B1319" s="603"/>
      <c r="C1319" s="1186"/>
      <c r="D1319" s="562"/>
      <c r="E1319" s="562"/>
      <c r="F1319" s="562"/>
      <c r="G1319" s="562"/>
      <c r="H1319" s="562"/>
      <c r="I1319" s="562"/>
      <c r="J1319" s="563"/>
    </row>
    <row r="1320" spans="2:10" ht="12.75">
      <c r="B1320" s="603"/>
      <c r="C1320" s="1186"/>
      <c r="D1320" s="562"/>
      <c r="E1320" s="562"/>
      <c r="F1320" s="562"/>
      <c r="G1320" s="562"/>
      <c r="H1320" s="562"/>
      <c r="I1320" s="562"/>
      <c r="J1320" s="563"/>
    </row>
    <row r="1321" spans="2:10" ht="12.75">
      <c r="B1321" s="603"/>
      <c r="C1321" s="1186"/>
      <c r="D1321" s="562"/>
      <c r="E1321" s="562"/>
      <c r="F1321" s="562"/>
      <c r="G1321" s="562"/>
      <c r="H1321" s="562"/>
      <c r="I1321" s="562"/>
      <c r="J1321" s="563"/>
    </row>
    <row r="1322" spans="2:10" ht="12.75">
      <c r="B1322" s="603"/>
      <c r="C1322" s="1186"/>
      <c r="D1322" s="562"/>
      <c r="E1322" s="562"/>
      <c r="F1322" s="562"/>
      <c r="G1322" s="562"/>
      <c r="H1322" s="562"/>
      <c r="I1322" s="562"/>
      <c r="J1322" s="563"/>
    </row>
    <row r="1323" spans="2:10" ht="12.75">
      <c r="B1323" s="603"/>
      <c r="C1323" s="1186"/>
      <c r="D1323" s="562"/>
      <c r="E1323" s="562"/>
      <c r="F1323" s="562"/>
      <c r="G1323" s="562"/>
      <c r="H1323" s="562"/>
      <c r="I1323" s="562"/>
      <c r="J1323" s="563"/>
    </row>
    <row r="1324" spans="2:10" ht="12.75">
      <c r="B1324" s="603"/>
      <c r="C1324" s="1186"/>
      <c r="D1324" s="562"/>
      <c r="E1324" s="562"/>
      <c r="F1324" s="562"/>
      <c r="G1324" s="562"/>
      <c r="H1324" s="562"/>
      <c r="I1324" s="562"/>
      <c r="J1324" s="563"/>
    </row>
    <row r="1325" spans="2:10" ht="12.75">
      <c r="B1325" s="603"/>
      <c r="C1325" s="1186"/>
      <c r="D1325" s="562"/>
      <c r="E1325" s="562"/>
      <c r="F1325" s="562"/>
      <c r="G1325" s="562"/>
      <c r="H1325" s="562"/>
      <c r="I1325" s="562"/>
      <c r="J1325" s="563"/>
    </row>
    <row r="1326" spans="2:10" ht="12.75">
      <c r="B1326" s="603"/>
      <c r="C1326" s="1186"/>
      <c r="D1326" s="562"/>
      <c r="E1326" s="562"/>
      <c r="F1326" s="562"/>
      <c r="G1326" s="562"/>
      <c r="H1326" s="562"/>
      <c r="I1326" s="562"/>
      <c r="J1326" s="563"/>
    </row>
    <row r="1327" spans="2:10" ht="12.75">
      <c r="B1327" s="603"/>
      <c r="C1327" s="1186"/>
      <c r="D1327" s="562"/>
      <c r="E1327" s="562"/>
      <c r="F1327" s="562"/>
      <c r="G1327" s="562"/>
      <c r="H1327" s="562"/>
      <c r="I1327" s="562"/>
      <c r="J1327" s="563"/>
    </row>
    <row r="1328" spans="2:10" ht="12.75">
      <c r="B1328" s="603"/>
      <c r="C1328" s="1186"/>
      <c r="D1328" s="562"/>
      <c r="E1328" s="562"/>
      <c r="F1328" s="562"/>
      <c r="G1328" s="562"/>
      <c r="H1328" s="562"/>
      <c r="I1328" s="562"/>
      <c r="J1328" s="563"/>
    </row>
    <row r="1329" spans="2:10" ht="12.75">
      <c r="B1329" s="603"/>
      <c r="C1329" s="1186"/>
      <c r="D1329" s="562"/>
      <c r="E1329" s="562"/>
      <c r="F1329" s="562"/>
      <c r="G1329" s="562"/>
      <c r="H1329" s="562"/>
      <c r="I1329" s="562"/>
      <c r="J1329" s="563"/>
    </row>
    <row r="1330" spans="2:10" ht="12.75">
      <c r="B1330" s="603"/>
      <c r="C1330" s="1186"/>
      <c r="D1330" s="562"/>
      <c r="E1330" s="562"/>
      <c r="F1330" s="562"/>
      <c r="G1330" s="562"/>
      <c r="H1330" s="562"/>
      <c r="I1330" s="562"/>
      <c r="J1330" s="563"/>
    </row>
    <row r="1331" spans="2:10" ht="12.75">
      <c r="B1331" s="603"/>
      <c r="C1331" s="1186"/>
      <c r="D1331" s="562"/>
      <c r="E1331" s="562"/>
      <c r="F1331" s="562"/>
      <c r="G1331" s="562"/>
      <c r="H1331" s="562"/>
      <c r="I1331" s="562"/>
      <c r="J1331" s="563"/>
    </row>
    <row r="1332" spans="2:10" ht="12.75">
      <c r="B1332" s="603"/>
      <c r="C1332" s="1186"/>
      <c r="D1332" s="562"/>
      <c r="E1332" s="562"/>
      <c r="F1332" s="562"/>
      <c r="G1332" s="562"/>
      <c r="H1332" s="562"/>
      <c r="I1332" s="562"/>
      <c r="J1332" s="563"/>
    </row>
    <row r="1333" spans="2:10" ht="12.75">
      <c r="B1333" s="603"/>
      <c r="C1333" s="1186"/>
      <c r="D1333" s="562"/>
      <c r="E1333" s="562"/>
      <c r="F1333" s="562"/>
      <c r="G1333" s="562"/>
      <c r="H1333" s="562"/>
      <c r="I1333" s="562"/>
      <c r="J1333" s="563"/>
    </row>
    <row r="1334" spans="2:10" ht="12.75">
      <c r="B1334" s="603"/>
      <c r="C1334" s="1186"/>
      <c r="D1334" s="562"/>
      <c r="E1334" s="562"/>
      <c r="F1334" s="562"/>
      <c r="G1334" s="562"/>
      <c r="H1334" s="562"/>
      <c r="I1334" s="562"/>
      <c r="J1334" s="563"/>
    </row>
    <row r="1335" spans="2:10" ht="12.75">
      <c r="B1335" s="603"/>
      <c r="C1335" s="1186"/>
      <c r="D1335" s="562"/>
      <c r="E1335" s="562"/>
      <c r="F1335" s="562"/>
      <c r="G1335" s="562"/>
      <c r="H1335" s="562"/>
      <c r="I1335" s="562"/>
      <c r="J1335" s="563"/>
    </row>
    <row r="1336" spans="2:10" ht="12.75">
      <c r="B1336" s="603"/>
      <c r="C1336" s="1186"/>
      <c r="D1336" s="562"/>
      <c r="E1336" s="562"/>
      <c r="F1336" s="562"/>
      <c r="G1336" s="562"/>
      <c r="H1336" s="562"/>
      <c r="I1336" s="562"/>
      <c r="J1336" s="563"/>
    </row>
    <row r="1337" spans="2:10" ht="12.75">
      <c r="B1337" s="603"/>
      <c r="C1337" s="1186"/>
      <c r="D1337" s="562"/>
      <c r="E1337" s="562"/>
      <c r="F1337" s="562"/>
      <c r="G1337" s="562"/>
      <c r="H1337" s="562"/>
      <c r="I1337" s="562"/>
      <c r="J1337" s="563"/>
    </row>
    <row r="1338" spans="2:10" ht="12.75">
      <c r="B1338" s="603"/>
      <c r="C1338" s="1186"/>
      <c r="D1338" s="562"/>
      <c r="E1338" s="562"/>
      <c r="F1338" s="562"/>
      <c r="G1338" s="562"/>
      <c r="H1338" s="562"/>
      <c r="I1338" s="562"/>
      <c r="J1338" s="563"/>
    </row>
    <row r="1339" spans="2:10" ht="12.75">
      <c r="B1339" s="603"/>
      <c r="C1339" s="1186"/>
      <c r="D1339" s="562"/>
      <c r="E1339" s="562"/>
      <c r="F1339" s="562"/>
      <c r="G1339" s="562"/>
      <c r="H1339" s="562"/>
      <c r="I1339" s="562"/>
      <c r="J1339" s="563"/>
    </row>
    <row r="1340" spans="2:10" ht="12.75">
      <c r="B1340" s="603"/>
      <c r="C1340" s="1186"/>
      <c r="D1340" s="562"/>
      <c r="E1340" s="562"/>
      <c r="F1340" s="562"/>
      <c r="G1340" s="562"/>
      <c r="H1340" s="562"/>
      <c r="I1340" s="562"/>
      <c r="J1340" s="563"/>
    </row>
    <row r="1341" spans="2:10" ht="12.75">
      <c r="B1341" s="603"/>
      <c r="C1341" s="1186"/>
      <c r="D1341" s="562"/>
      <c r="E1341" s="562"/>
      <c r="F1341" s="562"/>
      <c r="G1341" s="562"/>
      <c r="H1341" s="562"/>
      <c r="I1341" s="562"/>
      <c r="J1341" s="563"/>
    </row>
    <row r="1342" spans="2:10" ht="12.75">
      <c r="B1342" s="603"/>
      <c r="C1342" s="1186"/>
      <c r="D1342" s="562"/>
      <c r="E1342" s="562"/>
      <c r="F1342" s="562"/>
      <c r="G1342" s="562"/>
      <c r="H1342" s="562"/>
      <c r="I1342" s="562"/>
      <c r="J1342" s="563"/>
    </row>
    <row r="1343" spans="2:10" ht="12.75">
      <c r="B1343" s="603"/>
      <c r="C1343" s="1186"/>
      <c r="D1343" s="562"/>
      <c r="E1343" s="562"/>
      <c r="F1343" s="562"/>
      <c r="G1343" s="562"/>
      <c r="H1343" s="562"/>
      <c r="I1343" s="562"/>
      <c r="J1343" s="563"/>
    </row>
    <row r="1344" spans="2:10" ht="12.75">
      <c r="B1344" s="603"/>
      <c r="C1344" s="1186"/>
      <c r="D1344" s="562"/>
      <c r="E1344" s="562"/>
      <c r="F1344" s="562"/>
      <c r="G1344" s="562"/>
      <c r="H1344" s="562"/>
      <c r="I1344" s="562"/>
      <c r="J1344" s="563"/>
    </row>
    <row r="1345" spans="2:10" ht="12.75">
      <c r="B1345" s="603"/>
      <c r="C1345" s="1186"/>
      <c r="D1345" s="562"/>
      <c r="E1345" s="562"/>
      <c r="F1345" s="562"/>
      <c r="G1345" s="562"/>
      <c r="H1345" s="562"/>
      <c r="I1345" s="562"/>
      <c r="J1345" s="563"/>
    </row>
    <row r="1346" spans="2:10" ht="12.75">
      <c r="B1346" s="603"/>
      <c r="C1346" s="1186"/>
      <c r="D1346" s="562"/>
      <c r="E1346" s="562"/>
      <c r="F1346" s="562"/>
      <c r="G1346" s="562"/>
      <c r="H1346" s="562"/>
      <c r="I1346" s="562"/>
      <c r="J1346" s="563"/>
    </row>
    <row r="1347" spans="2:10" ht="12.75">
      <c r="B1347" s="603"/>
      <c r="C1347" s="1186"/>
      <c r="D1347" s="562"/>
      <c r="E1347" s="562"/>
      <c r="F1347" s="562"/>
      <c r="G1347" s="562"/>
      <c r="H1347" s="562"/>
      <c r="I1347" s="562"/>
      <c r="J1347" s="563"/>
    </row>
    <row r="1348" spans="2:10" ht="12.75">
      <c r="B1348" s="603"/>
      <c r="C1348" s="1186"/>
      <c r="D1348" s="562"/>
      <c r="E1348" s="562"/>
      <c r="F1348" s="562"/>
      <c r="G1348" s="562"/>
      <c r="H1348" s="562"/>
      <c r="I1348" s="562"/>
      <c r="J1348" s="563"/>
    </row>
    <row r="1349" spans="2:10" ht="12.75">
      <c r="B1349" s="603"/>
      <c r="C1349" s="1186"/>
      <c r="D1349" s="562"/>
      <c r="E1349" s="562"/>
      <c r="F1349" s="562"/>
      <c r="G1349" s="562"/>
      <c r="H1349" s="562"/>
      <c r="I1349" s="562"/>
      <c r="J1349" s="563"/>
    </row>
    <row r="1350" spans="2:10" ht="12.75">
      <c r="B1350" s="603"/>
      <c r="C1350" s="1186"/>
      <c r="D1350" s="562"/>
      <c r="E1350" s="562"/>
      <c r="F1350" s="562"/>
      <c r="G1350" s="562"/>
      <c r="H1350" s="562"/>
      <c r="I1350" s="562"/>
      <c r="J1350" s="563"/>
    </row>
    <row r="1351" spans="2:10" ht="12.75">
      <c r="B1351" s="603"/>
      <c r="C1351" s="1186"/>
      <c r="D1351" s="562"/>
      <c r="E1351" s="562"/>
      <c r="F1351" s="562"/>
      <c r="G1351" s="562"/>
      <c r="H1351" s="562"/>
      <c r="I1351" s="562"/>
      <c r="J1351" s="563"/>
    </row>
    <row r="1352" spans="2:10" ht="12.75">
      <c r="B1352" s="603"/>
      <c r="C1352" s="1186"/>
      <c r="D1352" s="562"/>
      <c r="E1352" s="562"/>
      <c r="F1352" s="562"/>
      <c r="G1352" s="562"/>
      <c r="H1352" s="562"/>
      <c r="I1352" s="562"/>
      <c r="J1352" s="563"/>
    </row>
    <row r="1353" spans="2:10" ht="12.75">
      <c r="B1353" s="603"/>
      <c r="C1353" s="1186"/>
      <c r="D1353" s="562"/>
      <c r="E1353" s="562"/>
      <c r="F1353" s="562"/>
      <c r="G1353" s="562"/>
      <c r="H1353" s="562"/>
      <c r="I1353" s="562"/>
      <c r="J1353" s="563"/>
    </row>
    <row r="1354" spans="2:10" ht="12.75">
      <c r="B1354" s="603"/>
      <c r="C1354" s="1186"/>
      <c r="D1354" s="562"/>
      <c r="E1354" s="562"/>
      <c r="F1354" s="562"/>
      <c r="G1354" s="562"/>
      <c r="H1354" s="562"/>
      <c r="I1354" s="562"/>
      <c r="J1354" s="563"/>
    </row>
    <row r="1355" spans="2:10" ht="12.75">
      <c r="B1355" s="603"/>
      <c r="C1355" s="1186"/>
      <c r="D1355" s="562"/>
      <c r="E1355" s="562"/>
      <c r="F1355" s="562"/>
      <c r="G1355" s="562"/>
      <c r="H1355" s="562"/>
      <c r="I1355" s="562"/>
      <c r="J1355" s="563"/>
    </row>
    <row r="1356" spans="2:10" ht="12.75">
      <c r="B1356" s="603"/>
      <c r="C1356" s="1186"/>
      <c r="D1356" s="562"/>
      <c r="E1356" s="562"/>
      <c r="F1356" s="562"/>
      <c r="G1356" s="562"/>
      <c r="H1356" s="562"/>
      <c r="I1356" s="562"/>
      <c r="J1356" s="563"/>
    </row>
    <row r="1357" spans="2:10" ht="12.75">
      <c r="B1357" s="603"/>
      <c r="C1357" s="1186"/>
      <c r="D1357" s="562"/>
      <c r="E1357" s="562"/>
      <c r="F1357" s="562"/>
      <c r="G1357" s="562"/>
      <c r="H1357" s="562"/>
      <c r="I1357" s="562"/>
      <c r="J1357" s="563"/>
    </row>
    <row r="1358" spans="2:10" ht="12.75">
      <c r="B1358" s="603"/>
      <c r="C1358" s="1186"/>
      <c r="D1358" s="562"/>
      <c r="E1358" s="562"/>
      <c r="F1358" s="562"/>
      <c r="G1358" s="562"/>
      <c r="H1358" s="562"/>
      <c r="I1358" s="562"/>
      <c r="J1358" s="563"/>
    </row>
    <row r="1359" spans="2:10" ht="12.75">
      <c r="B1359" s="603"/>
      <c r="C1359" s="1186"/>
      <c r="D1359" s="562"/>
      <c r="E1359" s="562"/>
      <c r="F1359" s="562"/>
      <c r="G1359" s="562"/>
      <c r="H1359" s="562"/>
      <c r="I1359" s="562"/>
      <c r="J1359" s="563"/>
    </row>
    <row r="1360" spans="2:10" ht="12.75">
      <c r="B1360" s="603"/>
      <c r="C1360" s="1186"/>
      <c r="D1360" s="562"/>
      <c r="E1360" s="562"/>
      <c r="F1360" s="562"/>
      <c r="G1360" s="562"/>
      <c r="H1360" s="562"/>
      <c r="I1360" s="562"/>
      <c r="J1360" s="563"/>
    </row>
    <row r="1361" spans="2:10" ht="12.75">
      <c r="B1361" s="603"/>
      <c r="C1361" s="1186"/>
      <c r="D1361" s="562"/>
      <c r="E1361" s="562"/>
      <c r="F1361" s="562"/>
      <c r="G1361" s="562"/>
      <c r="H1361" s="562"/>
      <c r="I1361" s="562"/>
      <c r="J1361" s="563"/>
    </row>
    <row r="1362" spans="2:10" ht="12.75">
      <c r="B1362" s="603"/>
      <c r="C1362" s="1186"/>
      <c r="D1362" s="562"/>
      <c r="E1362" s="562"/>
      <c r="F1362" s="562"/>
      <c r="G1362" s="562"/>
      <c r="H1362" s="562"/>
      <c r="I1362" s="562"/>
      <c r="J1362" s="563"/>
    </row>
    <row r="1363" spans="2:10" ht="12.75">
      <c r="B1363" s="603"/>
      <c r="C1363" s="1186"/>
      <c r="D1363" s="562"/>
      <c r="E1363" s="562"/>
      <c r="F1363" s="562"/>
      <c r="G1363" s="562"/>
      <c r="H1363" s="562"/>
      <c r="I1363" s="562"/>
      <c r="J1363" s="563"/>
    </row>
    <row r="1364" spans="2:10" ht="12.75">
      <c r="B1364" s="603"/>
      <c r="C1364" s="1186"/>
      <c r="D1364" s="562"/>
      <c r="E1364" s="562"/>
      <c r="F1364" s="562"/>
      <c r="G1364" s="562"/>
      <c r="H1364" s="562"/>
      <c r="I1364" s="562"/>
      <c r="J1364" s="563"/>
    </row>
    <row r="1365" spans="2:10" ht="12.75">
      <c r="B1365" s="603"/>
      <c r="C1365" s="1186"/>
      <c r="D1365" s="562"/>
      <c r="E1365" s="562"/>
      <c r="F1365" s="562"/>
      <c r="G1365" s="562"/>
      <c r="H1365" s="562"/>
      <c r="I1365" s="562"/>
      <c r="J1365" s="563"/>
    </row>
    <row r="1366" spans="2:10" ht="12.75">
      <c r="B1366" s="603"/>
      <c r="C1366" s="1186"/>
      <c r="D1366" s="562"/>
      <c r="E1366" s="562"/>
      <c r="F1366" s="562"/>
      <c r="G1366" s="562"/>
      <c r="H1366" s="562"/>
      <c r="I1366" s="562"/>
      <c r="J1366" s="563"/>
    </row>
    <row r="1367" spans="2:10" ht="12.75">
      <c r="B1367" s="603"/>
      <c r="C1367" s="1186"/>
      <c r="D1367" s="562"/>
      <c r="E1367" s="562"/>
      <c r="F1367" s="562"/>
      <c r="G1367" s="562"/>
      <c r="H1367" s="562"/>
      <c r="I1367" s="562"/>
      <c r="J1367" s="563"/>
    </row>
    <row r="1368" spans="2:10" ht="12.75">
      <c r="B1368" s="603"/>
      <c r="C1368" s="1186"/>
      <c r="D1368" s="562"/>
      <c r="E1368" s="562"/>
      <c r="F1368" s="562"/>
      <c r="G1368" s="562"/>
      <c r="H1368" s="562"/>
      <c r="I1368" s="562"/>
      <c r="J1368" s="563"/>
    </row>
    <row r="1369" spans="2:10" ht="12.75">
      <c r="B1369" s="603"/>
      <c r="C1369" s="1186"/>
      <c r="D1369" s="562"/>
      <c r="E1369" s="562"/>
      <c r="F1369" s="562"/>
      <c r="G1369" s="562"/>
      <c r="H1369" s="562"/>
      <c r="I1369" s="562"/>
      <c r="J1369" s="563"/>
    </row>
    <row r="1370" spans="2:10" ht="12.75">
      <c r="B1370" s="603"/>
      <c r="C1370" s="1186"/>
      <c r="D1370" s="562"/>
      <c r="E1370" s="562"/>
      <c r="F1370" s="562"/>
      <c r="G1370" s="562"/>
      <c r="H1370" s="562"/>
      <c r="I1370" s="562"/>
      <c r="J1370" s="563"/>
    </row>
    <row r="1371" spans="2:10" ht="12.75">
      <c r="B1371" s="603"/>
      <c r="C1371" s="1186"/>
      <c r="D1371" s="562"/>
      <c r="E1371" s="562"/>
      <c r="F1371" s="562"/>
      <c r="G1371" s="562"/>
      <c r="H1371" s="562"/>
      <c r="I1371" s="562"/>
      <c r="J1371" s="563"/>
    </row>
    <row r="1372" spans="2:10" ht="12.75">
      <c r="B1372" s="603"/>
      <c r="C1372" s="1186"/>
      <c r="D1372" s="562"/>
      <c r="E1372" s="562"/>
      <c r="F1372" s="562"/>
      <c r="G1372" s="562"/>
      <c r="H1372" s="562"/>
      <c r="I1372" s="562"/>
      <c r="J1372" s="563"/>
    </row>
    <row r="1373" spans="2:10" ht="12.75">
      <c r="B1373" s="603"/>
      <c r="C1373" s="1186"/>
      <c r="D1373" s="562"/>
      <c r="E1373" s="562"/>
      <c r="F1373" s="562"/>
      <c r="G1373" s="562"/>
      <c r="H1373" s="562"/>
      <c r="I1373" s="562"/>
      <c r="J1373" s="563"/>
    </row>
    <row r="1374" spans="2:10" ht="12.75">
      <c r="B1374" s="603"/>
      <c r="C1374" s="1186"/>
      <c r="D1374" s="562"/>
      <c r="E1374" s="562"/>
      <c r="F1374" s="562"/>
      <c r="G1374" s="562"/>
      <c r="H1374" s="562"/>
      <c r="I1374" s="562"/>
      <c r="J1374" s="563"/>
    </row>
    <row r="1375" spans="2:10" ht="12.75">
      <c r="B1375" s="603"/>
      <c r="C1375" s="1186"/>
      <c r="D1375" s="562"/>
      <c r="E1375" s="562"/>
      <c r="F1375" s="562"/>
      <c r="G1375" s="562"/>
      <c r="H1375" s="562"/>
      <c r="I1375" s="562"/>
      <c r="J1375" s="563"/>
    </row>
    <row r="1376" spans="2:10" ht="12.75">
      <c r="B1376" s="603"/>
      <c r="C1376" s="1186"/>
      <c r="D1376" s="562"/>
      <c r="E1376" s="562"/>
      <c r="F1376" s="562"/>
      <c r="G1376" s="562"/>
      <c r="H1376" s="562"/>
      <c r="I1376" s="562"/>
      <c r="J1376" s="563"/>
    </row>
    <row r="1377" spans="2:10" ht="12.75">
      <c r="B1377" s="603"/>
      <c r="C1377" s="1186"/>
      <c r="D1377" s="562"/>
      <c r="E1377" s="562"/>
      <c r="F1377" s="562"/>
      <c r="G1377" s="562"/>
      <c r="H1377" s="562"/>
      <c r="I1377" s="562"/>
      <c r="J1377" s="563"/>
    </row>
    <row r="1378" spans="2:10" ht="12.75">
      <c r="B1378" s="603"/>
      <c r="C1378" s="1186"/>
      <c r="D1378" s="562"/>
      <c r="E1378" s="562"/>
      <c r="F1378" s="562"/>
      <c r="G1378" s="562"/>
      <c r="H1378" s="562"/>
      <c r="I1378" s="562"/>
      <c r="J1378" s="563"/>
    </row>
    <row r="1379" spans="2:10" ht="12.75">
      <c r="B1379" s="603"/>
      <c r="C1379" s="1186"/>
      <c r="D1379" s="562"/>
      <c r="E1379" s="562"/>
      <c r="F1379" s="562"/>
      <c r="G1379" s="562"/>
      <c r="H1379" s="562"/>
      <c r="I1379" s="562"/>
      <c r="J1379" s="563"/>
    </row>
    <row r="1380" spans="2:10" ht="12.75">
      <c r="B1380" s="603"/>
      <c r="C1380" s="1186"/>
      <c r="D1380" s="562"/>
      <c r="E1380" s="562"/>
      <c r="F1380" s="562"/>
      <c r="G1380" s="562"/>
      <c r="H1380" s="562"/>
      <c r="I1380" s="562"/>
      <c r="J1380" s="563"/>
    </row>
    <row r="1381" spans="2:10" ht="12.75">
      <c r="B1381" s="603"/>
      <c r="C1381" s="1186"/>
      <c r="D1381" s="562"/>
      <c r="E1381" s="562"/>
      <c r="F1381" s="562"/>
      <c r="G1381" s="562"/>
      <c r="H1381" s="562"/>
      <c r="I1381" s="562"/>
      <c r="J1381" s="563"/>
    </row>
    <row r="1382" spans="2:10" ht="12.75">
      <c r="B1382" s="603"/>
      <c r="C1382" s="1186"/>
      <c r="D1382" s="562"/>
      <c r="E1382" s="562"/>
      <c r="F1382" s="562"/>
      <c r="G1382" s="562"/>
      <c r="H1382" s="562"/>
      <c r="I1382" s="562"/>
      <c r="J1382" s="563"/>
    </row>
    <row r="1383" spans="2:10" ht="12.75">
      <c r="B1383" s="603"/>
      <c r="C1383" s="1186"/>
      <c r="D1383" s="562"/>
      <c r="E1383" s="562"/>
      <c r="F1383" s="562"/>
      <c r="G1383" s="562"/>
      <c r="H1383" s="562"/>
      <c r="I1383" s="562"/>
      <c r="J1383" s="563"/>
    </row>
    <row r="1384" spans="2:10" ht="12.75">
      <c r="B1384" s="603"/>
      <c r="C1384" s="1186"/>
      <c r="D1384" s="562"/>
      <c r="E1384" s="562"/>
      <c r="F1384" s="562"/>
      <c r="G1384" s="562"/>
      <c r="H1384" s="562"/>
      <c r="I1384" s="562"/>
      <c r="J1384" s="563"/>
    </row>
    <row r="1385" spans="2:10" ht="12.75">
      <c r="B1385" s="603"/>
      <c r="C1385" s="1186"/>
      <c r="D1385" s="562"/>
      <c r="E1385" s="562"/>
      <c r="F1385" s="562"/>
      <c r="G1385" s="562"/>
      <c r="H1385" s="562"/>
      <c r="I1385" s="562"/>
      <c r="J1385" s="563"/>
    </row>
    <row r="1386" spans="2:10" ht="12.75">
      <c r="B1386" s="603"/>
      <c r="C1386" s="1186"/>
      <c r="D1386" s="562"/>
      <c r="E1386" s="562"/>
      <c r="F1386" s="562"/>
      <c r="G1386" s="562"/>
      <c r="H1386" s="562"/>
      <c r="I1386" s="562"/>
      <c r="J1386" s="563"/>
    </row>
    <row r="1387" spans="2:10" ht="12.75">
      <c r="B1387" s="603"/>
      <c r="C1387" s="1186"/>
      <c r="D1387" s="562"/>
      <c r="E1387" s="562"/>
      <c r="F1387" s="562"/>
      <c r="G1387" s="562"/>
      <c r="H1387" s="562"/>
      <c r="I1387" s="562"/>
      <c r="J1387" s="563"/>
    </row>
    <row r="1388" spans="2:10" ht="12.75">
      <c r="B1388" s="603"/>
      <c r="C1388" s="1186"/>
      <c r="D1388" s="562"/>
      <c r="E1388" s="562"/>
      <c r="F1388" s="562"/>
      <c r="G1388" s="562"/>
      <c r="H1388" s="562"/>
      <c r="I1388" s="562"/>
      <c r="J1388" s="563"/>
    </row>
    <row r="1389" spans="2:10" ht="12.75">
      <c r="B1389" s="603"/>
      <c r="C1389" s="1186"/>
      <c r="D1389" s="562"/>
      <c r="E1389" s="562"/>
      <c r="F1389" s="562"/>
      <c r="G1389" s="562"/>
      <c r="H1389" s="562"/>
      <c r="I1389" s="562"/>
      <c r="J1389" s="563"/>
    </row>
    <row r="1390" spans="2:10" ht="12.75">
      <c r="B1390" s="603"/>
      <c r="C1390" s="1186"/>
      <c r="D1390" s="562"/>
      <c r="E1390" s="562"/>
      <c r="F1390" s="562"/>
      <c r="G1390" s="562"/>
      <c r="H1390" s="562"/>
      <c r="I1390" s="562"/>
      <c r="J1390" s="563"/>
    </row>
    <row r="1391" spans="2:10" ht="12.75">
      <c r="B1391" s="603"/>
      <c r="C1391" s="1186"/>
      <c r="D1391" s="562"/>
      <c r="E1391" s="562"/>
      <c r="F1391" s="562"/>
      <c r="G1391" s="562"/>
      <c r="H1391" s="562"/>
      <c r="I1391" s="562"/>
      <c r="J1391" s="563"/>
    </row>
    <row r="1392" spans="2:10" ht="12.75">
      <c r="B1392" s="603"/>
      <c r="C1392" s="1186"/>
      <c r="D1392" s="562"/>
      <c r="E1392" s="562"/>
      <c r="F1392" s="562"/>
      <c r="G1392" s="562"/>
      <c r="H1392" s="562"/>
      <c r="I1392" s="562"/>
      <c r="J1392" s="563"/>
    </row>
    <row r="1393" spans="2:10" ht="12.75">
      <c r="B1393" s="603"/>
      <c r="C1393" s="1186"/>
      <c r="D1393" s="562"/>
      <c r="E1393" s="562"/>
      <c r="F1393" s="562"/>
      <c r="G1393" s="562"/>
      <c r="H1393" s="562"/>
      <c r="I1393" s="562"/>
      <c r="J1393" s="563"/>
    </row>
    <row r="1394" spans="2:10" ht="12.75">
      <c r="B1394" s="603"/>
      <c r="C1394" s="1186"/>
      <c r="D1394" s="562"/>
      <c r="E1394" s="562"/>
      <c r="F1394" s="562"/>
      <c r="G1394" s="562"/>
      <c r="H1394" s="562"/>
      <c r="I1394" s="562"/>
      <c r="J1394" s="563"/>
    </row>
    <row r="1395" spans="2:10" ht="12.75">
      <c r="B1395" s="603"/>
      <c r="C1395" s="1186"/>
      <c r="D1395" s="562"/>
      <c r="E1395" s="562"/>
      <c r="F1395" s="562"/>
      <c r="G1395" s="562"/>
      <c r="H1395" s="562"/>
      <c r="I1395" s="562"/>
      <c r="J1395" s="563"/>
    </row>
    <row r="1396" spans="2:10" ht="12.75">
      <c r="B1396" s="603"/>
      <c r="C1396" s="1186"/>
      <c r="D1396" s="562"/>
      <c r="E1396" s="562"/>
      <c r="F1396" s="562"/>
      <c r="G1396" s="562"/>
      <c r="H1396" s="562"/>
      <c r="I1396" s="562"/>
      <c r="J1396" s="563"/>
    </row>
    <row r="1397" spans="2:10" ht="12.75">
      <c r="B1397" s="603"/>
      <c r="C1397" s="1186"/>
      <c r="D1397" s="562"/>
      <c r="E1397" s="562"/>
      <c r="F1397" s="562"/>
      <c r="G1397" s="562"/>
      <c r="H1397" s="562"/>
      <c r="I1397" s="562"/>
      <c r="J1397" s="563"/>
    </row>
    <row r="1398" spans="2:10" ht="12.75">
      <c r="B1398" s="603"/>
      <c r="C1398" s="1186"/>
      <c r="D1398" s="562"/>
      <c r="E1398" s="562"/>
      <c r="F1398" s="562"/>
      <c r="G1398" s="562"/>
      <c r="H1398" s="562"/>
      <c r="I1398" s="562"/>
      <c r="J1398" s="563"/>
    </row>
    <row r="1399" spans="2:10" ht="12.75">
      <c r="B1399" s="603"/>
      <c r="C1399" s="1186"/>
      <c r="D1399" s="562"/>
      <c r="E1399" s="562"/>
      <c r="F1399" s="562"/>
      <c r="G1399" s="562"/>
      <c r="H1399" s="562"/>
      <c r="I1399" s="562"/>
      <c r="J1399" s="563"/>
    </row>
    <row r="1400" spans="2:10" ht="12.75">
      <c r="B1400" s="603"/>
      <c r="C1400" s="1186"/>
      <c r="D1400" s="562"/>
      <c r="E1400" s="562"/>
      <c r="F1400" s="562"/>
      <c r="G1400" s="562"/>
      <c r="H1400" s="562"/>
      <c r="I1400" s="562"/>
      <c r="J1400" s="563"/>
    </row>
    <row r="1401" spans="2:10" ht="12.75">
      <c r="B1401" s="603"/>
      <c r="C1401" s="1186"/>
      <c r="D1401" s="562"/>
      <c r="E1401" s="562"/>
      <c r="F1401" s="562"/>
      <c r="G1401" s="562"/>
      <c r="H1401" s="562"/>
      <c r="I1401" s="562"/>
      <c r="J1401" s="563"/>
    </row>
    <row r="1402" spans="2:10" ht="12.75">
      <c r="B1402" s="603"/>
      <c r="C1402" s="1186"/>
      <c r="D1402" s="562"/>
      <c r="E1402" s="562"/>
      <c r="F1402" s="562"/>
      <c r="G1402" s="562"/>
      <c r="H1402" s="562"/>
      <c r="I1402" s="562"/>
      <c r="J1402" s="563"/>
    </row>
    <row r="1403" spans="2:10" ht="12.75">
      <c r="B1403" s="603"/>
      <c r="C1403" s="1186"/>
      <c r="D1403" s="562"/>
      <c r="E1403" s="562"/>
      <c r="F1403" s="562"/>
      <c r="G1403" s="562"/>
      <c r="H1403" s="562"/>
      <c r="I1403" s="562"/>
      <c r="J1403" s="563"/>
    </row>
    <row r="1404" spans="2:10" ht="12.75">
      <c r="B1404" s="603"/>
      <c r="C1404" s="1186"/>
      <c r="D1404" s="562"/>
      <c r="E1404" s="562"/>
      <c r="F1404" s="562"/>
      <c r="G1404" s="562"/>
      <c r="H1404" s="562"/>
      <c r="I1404" s="562"/>
      <c r="J1404" s="563"/>
    </row>
    <row r="1405" spans="2:10" ht="12.75">
      <c r="B1405" s="603"/>
      <c r="C1405" s="1186"/>
      <c r="D1405" s="562"/>
      <c r="E1405" s="562"/>
      <c r="F1405" s="562"/>
      <c r="G1405" s="562"/>
      <c r="H1405" s="562"/>
      <c r="I1405" s="562"/>
      <c r="J1405" s="563"/>
    </row>
    <row r="1406" spans="2:10" ht="12.75">
      <c r="B1406" s="603"/>
      <c r="C1406" s="1186"/>
      <c r="D1406" s="562"/>
      <c r="E1406" s="562"/>
      <c r="F1406" s="562"/>
      <c r="G1406" s="562"/>
      <c r="H1406" s="562"/>
      <c r="I1406" s="562"/>
      <c r="J1406" s="563"/>
    </row>
    <row r="1407" spans="2:10" ht="12.75">
      <c r="B1407" s="603"/>
      <c r="C1407" s="1186"/>
      <c r="D1407" s="562"/>
      <c r="E1407" s="562"/>
      <c r="F1407" s="562"/>
      <c r="G1407" s="562"/>
      <c r="H1407" s="562"/>
      <c r="I1407" s="562"/>
      <c r="J1407" s="563"/>
    </row>
    <row r="1408" spans="2:10" ht="12.75">
      <c r="B1408" s="603"/>
      <c r="C1408" s="1186"/>
      <c r="D1408" s="562"/>
      <c r="E1408" s="562"/>
      <c r="F1408" s="562"/>
      <c r="G1408" s="562"/>
      <c r="H1408" s="562"/>
      <c r="I1408" s="562"/>
      <c r="J1408" s="563"/>
    </row>
    <row r="1409" spans="2:10" ht="12.75">
      <c r="B1409" s="603"/>
      <c r="C1409" s="1186"/>
      <c r="D1409" s="562"/>
      <c r="E1409" s="562"/>
      <c r="F1409" s="562"/>
      <c r="G1409" s="562"/>
      <c r="H1409" s="562"/>
      <c r="I1409" s="562"/>
      <c r="J1409" s="563"/>
    </row>
    <row r="1410" spans="2:10" ht="12.75">
      <c r="B1410" s="603"/>
      <c r="C1410" s="1186"/>
      <c r="D1410" s="562"/>
      <c r="E1410" s="562"/>
      <c r="F1410" s="562"/>
      <c r="G1410" s="562"/>
      <c r="H1410" s="562"/>
      <c r="I1410" s="562"/>
      <c r="J1410" s="563"/>
    </row>
    <row r="1411" spans="2:10" ht="12.75">
      <c r="B1411" s="603"/>
      <c r="C1411" s="1186"/>
      <c r="D1411" s="562"/>
      <c r="E1411" s="562"/>
      <c r="F1411" s="562"/>
      <c r="G1411" s="562"/>
      <c r="H1411" s="562"/>
      <c r="I1411" s="562"/>
      <c r="J1411" s="563"/>
    </row>
    <row r="1412" spans="2:10" ht="12.75">
      <c r="B1412" s="603"/>
      <c r="C1412" s="1186"/>
      <c r="D1412" s="562"/>
      <c r="E1412" s="562"/>
      <c r="F1412" s="562"/>
      <c r="G1412" s="562"/>
      <c r="H1412" s="562"/>
      <c r="I1412" s="562"/>
      <c r="J1412" s="563"/>
    </row>
    <row r="1413" spans="2:10" ht="12.75">
      <c r="B1413" s="603"/>
      <c r="C1413" s="1186"/>
      <c r="D1413" s="562"/>
      <c r="E1413" s="562"/>
      <c r="F1413" s="562"/>
      <c r="G1413" s="562"/>
      <c r="H1413" s="562"/>
      <c r="I1413" s="562"/>
      <c r="J1413" s="563"/>
    </row>
    <row r="1414" spans="2:10" ht="12.75">
      <c r="B1414" s="603"/>
      <c r="C1414" s="1186"/>
      <c r="D1414" s="562"/>
      <c r="E1414" s="562"/>
      <c r="F1414" s="562"/>
      <c r="G1414" s="562"/>
      <c r="H1414" s="562"/>
      <c r="I1414" s="562"/>
      <c r="J1414" s="563"/>
    </row>
    <row r="1415" spans="2:10" ht="12.75">
      <c r="B1415" s="603"/>
      <c r="C1415" s="1186"/>
      <c r="D1415" s="562"/>
      <c r="E1415" s="562"/>
      <c r="F1415" s="562"/>
      <c r="G1415" s="562"/>
      <c r="H1415" s="562"/>
      <c r="I1415" s="562"/>
      <c r="J1415" s="563"/>
    </row>
    <row r="1416" spans="2:10" ht="12.75">
      <c r="B1416" s="603"/>
      <c r="C1416" s="1186"/>
      <c r="D1416" s="562"/>
      <c r="E1416" s="562"/>
      <c r="F1416" s="562"/>
      <c r="G1416" s="562"/>
      <c r="H1416" s="562"/>
      <c r="I1416" s="562"/>
      <c r="J1416" s="563"/>
    </row>
    <row r="1417" spans="2:10" ht="12.75">
      <c r="B1417" s="603"/>
      <c r="C1417" s="1186"/>
      <c r="D1417" s="562"/>
      <c r="E1417" s="562"/>
      <c r="F1417" s="562"/>
      <c r="G1417" s="562"/>
      <c r="H1417" s="562"/>
      <c r="I1417" s="562"/>
      <c r="J1417" s="563"/>
    </row>
    <row r="1418" spans="2:10" ht="12.75">
      <c r="B1418" s="603"/>
      <c r="C1418" s="1186"/>
      <c r="D1418" s="562"/>
      <c r="E1418" s="562"/>
      <c r="F1418" s="562"/>
      <c r="G1418" s="562"/>
      <c r="H1418" s="562"/>
      <c r="I1418" s="562"/>
      <c r="J1418" s="563"/>
    </row>
    <row r="1419" spans="2:10" ht="12.75">
      <c r="B1419" s="603"/>
      <c r="C1419" s="1186"/>
      <c r="D1419" s="562"/>
      <c r="E1419" s="562"/>
      <c r="F1419" s="562"/>
      <c r="G1419" s="562"/>
      <c r="H1419" s="562"/>
      <c r="I1419" s="562"/>
      <c r="J1419" s="563"/>
    </row>
    <row r="1420" spans="2:10" ht="12.75">
      <c r="B1420" s="603"/>
      <c r="C1420" s="1186"/>
      <c r="D1420" s="562"/>
      <c r="E1420" s="562"/>
      <c r="F1420" s="562"/>
      <c r="G1420" s="562"/>
      <c r="H1420" s="562"/>
      <c r="I1420" s="562"/>
      <c r="J1420" s="563"/>
    </row>
    <row r="1421" spans="2:10" ht="12.75">
      <c r="B1421" s="603"/>
      <c r="C1421" s="1186"/>
      <c r="D1421" s="562"/>
      <c r="E1421" s="562"/>
      <c r="F1421" s="562"/>
      <c r="G1421" s="562"/>
      <c r="H1421" s="562"/>
      <c r="I1421" s="562"/>
      <c r="J1421" s="563"/>
    </row>
    <row r="1422" spans="2:10" ht="12.75">
      <c r="B1422" s="603"/>
      <c r="C1422" s="1186"/>
      <c r="D1422" s="562"/>
      <c r="E1422" s="562"/>
      <c r="F1422" s="562"/>
      <c r="G1422" s="562"/>
      <c r="H1422" s="562"/>
      <c r="I1422" s="562"/>
      <c r="J1422" s="563"/>
    </row>
    <row r="1423" spans="2:10" ht="12.75">
      <c r="B1423" s="603"/>
      <c r="C1423" s="1186"/>
      <c r="D1423" s="562"/>
      <c r="E1423" s="562"/>
      <c r="F1423" s="562"/>
      <c r="G1423" s="562"/>
      <c r="H1423" s="562"/>
      <c r="I1423" s="562"/>
      <c r="J1423" s="563"/>
    </row>
    <row r="1424" spans="2:10" ht="12.75">
      <c r="B1424" s="603"/>
      <c r="C1424" s="1186"/>
      <c r="D1424" s="562"/>
      <c r="E1424" s="562"/>
      <c r="F1424" s="562"/>
      <c r="G1424" s="562"/>
      <c r="H1424" s="562"/>
      <c r="I1424" s="562"/>
      <c r="J1424" s="563"/>
    </row>
    <row r="1425" spans="2:10" ht="12.75">
      <c r="B1425" s="603"/>
      <c r="C1425" s="1186"/>
      <c r="D1425" s="562"/>
      <c r="E1425" s="562"/>
      <c r="F1425" s="562"/>
      <c r="G1425" s="562"/>
      <c r="H1425" s="562"/>
      <c r="I1425" s="562"/>
      <c r="J1425" s="563"/>
    </row>
    <row r="1426" spans="2:10" ht="12.75">
      <c r="B1426" s="603"/>
      <c r="C1426" s="1186"/>
      <c r="D1426" s="562"/>
      <c r="E1426" s="562"/>
      <c r="F1426" s="562"/>
      <c r="G1426" s="562"/>
      <c r="H1426" s="562"/>
      <c r="I1426" s="562"/>
      <c r="J1426" s="563"/>
    </row>
    <row r="1427" spans="2:10" ht="12.75">
      <c r="B1427" s="603"/>
      <c r="C1427" s="1186"/>
      <c r="D1427" s="562"/>
      <c r="E1427" s="562"/>
      <c r="F1427" s="562"/>
      <c r="G1427" s="562"/>
      <c r="H1427" s="562"/>
      <c r="I1427" s="562"/>
      <c r="J1427" s="563"/>
    </row>
    <row r="1428" spans="2:10" ht="12.75">
      <c r="B1428" s="603"/>
      <c r="C1428" s="1186"/>
      <c r="D1428" s="562"/>
      <c r="E1428" s="562"/>
      <c r="F1428" s="562"/>
      <c r="G1428" s="562"/>
      <c r="H1428" s="562"/>
      <c r="I1428" s="562"/>
      <c r="J1428" s="563"/>
    </row>
    <row r="1429" spans="2:10" ht="12.75">
      <c r="B1429" s="603"/>
      <c r="C1429" s="1186"/>
      <c r="D1429" s="562"/>
      <c r="E1429" s="562"/>
      <c r="F1429" s="562"/>
      <c r="G1429" s="562"/>
      <c r="H1429" s="562"/>
      <c r="I1429" s="562"/>
      <c r="J1429" s="563"/>
    </row>
    <row r="1430" spans="2:10" ht="12.75">
      <c r="B1430" s="603"/>
      <c r="C1430" s="1186"/>
      <c r="D1430" s="562"/>
      <c r="E1430" s="562"/>
      <c r="F1430" s="562"/>
      <c r="G1430" s="562"/>
      <c r="H1430" s="562"/>
      <c r="I1430" s="562"/>
      <c r="J1430" s="563"/>
    </row>
    <row r="1431" spans="2:10" ht="12.75">
      <c r="B1431" s="603"/>
      <c r="C1431" s="1186"/>
      <c r="D1431" s="562"/>
      <c r="E1431" s="562"/>
      <c r="F1431" s="562"/>
      <c r="G1431" s="562"/>
      <c r="H1431" s="562"/>
      <c r="I1431" s="562"/>
      <c r="J1431" s="563"/>
    </row>
    <row r="1432" spans="2:10" ht="12.75">
      <c r="B1432" s="603"/>
      <c r="C1432" s="1186"/>
      <c r="D1432" s="562"/>
      <c r="E1432" s="562"/>
      <c r="F1432" s="562"/>
      <c r="G1432" s="562"/>
      <c r="H1432" s="562"/>
      <c r="I1432" s="562"/>
      <c r="J1432" s="563"/>
    </row>
    <row r="1433" spans="2:10" ht="12.75">
      <c r="B1433" s="603"/>
      <c r="C1433" s="1186"/>
      <c r="D1433" s="562"/>
      <c r="E1433" s="562"/>
      <c r="F1433" s="562"/>
      <c r="G1433" s="562"/>
      <c r="H1433" s="562"/>
      <c r="I1433" s="562"/>
      <c r="J1433" s="563"/>
    </row>
    <row r="1434" spans="2:10" ht="12.75">
      <c r="B1434" s="603"/>
      <c r="C1434" s="1186"/>
      <c r="D1434" s="562"/>
      <c r="E1434" s="562"/>
      <c r="F1434" s="562"/>
      <c r="G1434" s="562"/>
      <c r="H1434" s="562"/>
      <c r="I1434" s="562"/>
      <c r="J1434" s="563"/>
    </row>
    <row r="1435" spans="2:10" ht="12.75">
      <c r="B1435" s="603"/>
      <c r="C1435" s="1186"/>
      <c r="D1435" s="562"/>
      <c r="E1435" s="562"/>
      <c r="F1435" s="562"/>
      <c r="G1435" s="562"/>
      <c r="H1435" s="562"/>
      <c r="I1435" s="562"/>
      <c r="J1435" s="563"/>
    </row>
    <row r="1436" spans="2:10" ht="12.75">
      <c r="B1436" s="603"/>
      <c r="C1436" s="1186"/>
      <c r="D1436" s="562"/>
      <c r="E1436" s="562"/>
      <c r="F1436" s="562"/>
      <c r="G1436" s="562"/>
      <c r="H1436" s="562"/>
      <c r="I1436" s="562"/>
      <c r="J1436" s="563"/>
    </row>
    <row r="1437" spans="2:10" ht="12.75">
      <c r="B1437" s="603"/>
      <c r="C1437" s="1186"/>
      <c r="D1437" s="562"/>
      <c r="E1437" s="562"/>
      <c r="F1437" s="562"/>
      <c r="G1437" s="562"/>
      <c r="H1437" s="562"/>
      <c r="I1437" s="562"/>
      <c r="J1437" s="563"/>
    </row>
    <row r="1438" spans="2:10" ht="12.75">
      <c r="B1438" s="603"/>
      <c r="C1438" s="1186"/>
      <c r="D1438" s="562"/>
      <c r="E1438" s="562"/>
      <c r="F1438" s="562"/>
      <c r="G1438" s="562"/>
      <c r="H1438" s="562"/>
      <c r="I1438" s="562"/>
      <c r="J1438" s="563"/>
    </row>
    <row r="1439" spans="2:10" ht="12.75">
      <c r="B1439" s="603"/>
      <c r="C1439" s="1186"/>
      <c r="D1439" s="562"/>
      <c r="E1439" s="562"/>
      <c r="F1439" s="562"/>
      <c r="G1439" s="562"/>
      <c r="H1439" s="562"/>
      <c r="I1439" s="562"/>
      <c r="J1439" s="563"/>
    </row>
    <row r="1440" spans="2:10" ht="12.75">
      <c r="B1440" s="603"/>
      <c r="C1440" s="1186"/>
      <c r="D1440" s="562"/>
      <c r="E1440" s="562"/>
      <c r="F1440" s="562"/>
      <c r="G1440" s="562"/>
      <c r="H1440" s="562"/>
      <c r="I1440" s="562"/>
      <c r="J1440" s="563"/>
    </row>
    <row r="1441" spans="2:10" ht="12.75">
      <c r="B1441" s="603"/>
      <c r="C1441" s="1186"/>
      <c r="D1441" s="562"/>
      <c r="E1441" s="562"/>
      <c r="F1441" s="562"/>
      <c r="G1441" s="562"/>
      <c r="H1441" s="562"/>
      <c r="I1441" s="562"/>
      <c r="J1441" s="563"/>
    </row>
    <row r="1442" spans="2:10" ht="12.75">
      <c r="B1442" s="603"/>
      <c r="C1442" s="1186"/>
      <c r="D1442" s="562"/>
      <c r="E1442" s="562"/>
      <c r="F1442" s="562"/>
      <c r="G1442" s="562"/>
      <c r="H1442" s="562"/>
      <c r="I1442" s="562"/>
      <c r="J1442" s="563"/>
    </row>
    <row r="1443" spans="2:10" ht="12.75">
      <c r="B1443" s="603"/>
      <c r="C1443" s="1186"/>
      <c r="D1443" s="562"/>
      <c r="E1443" s="562"/>
      <c r="F1443" s="562"/>
      <c r="G1443" s="562"/>
      <c r="H1443" s="562"/>
      <c r="I1443" s="562"/>
      <c r="J1443" s="563"/>
    </row>
    <row r="1444" spans="2:10" ht="12.75">
      <c r="B1444" s="603"/>
      <c r="C1444" s="1186"/>
      <c r="D1444" s="562"/>
      <c r="E1444" s="562"/>
      <c r="F1444" s="562"/>
      <c r="G1444" s="562"/>
      <c r="H1444" s="562"/>
      <c r="I1444" s="562"/>
      <c r="J1444" s="563"/>
    </row>
    <row r="1445" spans="2:10" ht="12.75">
      <c r="B1445" s="603"/>
      <c r="C1445" s="1186"/>
      <c r="D1445" s="562"/>
      <c r="E1445" s="562"/>
      <c r="F1445" s="562"/>
      <c r="G1445" s="562"/>
      <c r="H1445" s="562"/>
      <c r="I1445" s="562"/>
      <c r="J1445" s="563"/>
    </row>
    <row r="1446" spans="2:10" ht="12.75">
      <c r="B1446" s="603"/>
      <c r="C1446" s="1186"/>
      <c r="D1446" s="562"/>
      <c r="E1446" s="562"/>
      <c r="F1446" s="562"/>
      <c r="G1446" s="562"/>
      <c r="H1446" s="562"/>
      <c r="I1446" s="562"/>
      <c r="J1446" s="563"/>
    </row>
    <row r="1447" spans="2:10" ht="12.75">
      <c r="B1447" s="603"/>
      <c r="C1447" s="1186"/>
      <c r="D1447" s="562"/>
      <c r="E1447" s="562"/>
      <c r="F1447" s="562"/>
      <c r="G1447" s="562"/>
      <c r="H1447" s="562"/>
      <c r="I1447" s="562"/>
      <c r="J1447" s="563"/>
    </row>
    <row r="1448" spans="2:10" ht="12.75">
      <c r="B1448" s="603"/>
      <c r="C1448" s="1186"/>
      <c r="D1448" s="562"/>
      <c r="E1448" s="562"/>
      <c r="F1448" s="562"/>
      <c r="G1448" s="562"/>
      <c r="H1448" s="562"/>
      <c r="I1448" s="562"/>
      <c r="J1448" s="563"/>
    </row>
    <row r="1449" spans="2:10" ht="12.75">
      <c r="B1449" s="603"/>
      <c r="C1449" s="1186"/>
      <c r="D1449" s="562"/>
      <c r="E1449" s="562"/>
      <c r="F1449" s="562"/>
      <c r="G1449" s="562"/>
      <c r="H1449" s="562"/>
      <c r="I1449" s="562"/>
      <c r="J1449" s="563"/>
    </row>
    <row r="1450" spans="2:10" ht="12.75">
      <c r="B1450" s="603"/>
      <c r="C1450" s="1186"/>
      <c r="D1450" s="562"/>
      <c r="E1450" s="562"/>
      <c r="F1450" s="562"/>
      <c r="G1450" s="562"/>
      <c r="H1450" s="562"/>
      <c r="I1450" s="562"/>
      <c r="J1450" s="563"/>
    </row>
    <row r="1451" spans="2:10" ht="12.75">
      <c r="B1451" s="603"/>
      <c r="C1451" s="1186"/>
      <c r="D1451" s="562"/>
      <c r="E1451" s="562"/>
      <c r="F1451" s="562"/>
      <c r="G1451" s="562"/>
      <c r="H1451" s="562"/>
      <c r="I1451" s="562"/>
      <c r="J1451" s="563"/>
    </row>
    <row r="1452" spans="2:10" ht="12.75">
      <c r="B1452" s="603"/>
      <c r="C1452" s="1186"/>
      <c r="D1452" s="562"/>
      <c r="E1452" s="562"/>
      <c r="F1452" s="562"/>
      <c r="G1452" s="562"/>
      <c r="H1452" s="562"/>
      <c r="I1452" s="562"/>
      <c r="J1452" s="563"/>
    </row>
    <row r="1453" spans="2:10" ht="12.75">
      <c r="B1453" s="603"/>
      <c r="C1453" s="1186"/>
      <c r="D1453" s="562"/>
      <c r="E1453" s="562"/>
      <c r="F1453" s="562"/>
      <c r="G1453" s="562"/>
      <c r="H1453" s="562"/>
      <c r="I1453" s="562"/>
      <c r="J1453" s="563"/>
    </row>
    <row r="1454" spans="2:10" ht="12.75">
      <c r="B1454" s="603"/>
      <c r="C1454" s="1186"/>
      <c r="D1454" s="562"/>
      <c r="E1454" s="562"/>
      <c r="F1454" s="562"/>
      <c r="G1454" s="562"/>
      <c r="H1454" s="562"/>
      <c r="I1454" s="562"/>
      <c r="J1454" s="563"/>
    </row>
    <row r="1455" spans="2:10" ht="12.75">
      <c r="B1455" s="603"/>
      <c r="C1455" s="1186"/>
      <c r="D1455" s="562"/>
      <c r="E1455" s="562"/>
      <c r="F1455" s="562"/>
      <c r="G1455" s="562"/>
      <c r="H1455" s="562"/>
      <c r="I1455" s="562"/>
      <c r="J1455" s="563"/>
    </row>
    <row r="1456" spans="2:10" ht="12.75">
      <c r="B1456" s="603"/>
      <c r="C1456" s="1186"/>
      <c r="D1456" s="562"/>
      <c r="E1456" s="562"/>
      <c r="F1456" s="562"/>
      <c r="G1456" s="562"/>
      <c r="H1456" s="562"/>
      <c r="I1456" s="562"/>
      <c r="J1456" s="563"/>
    </row>
    <row r="1457" spans="2:10" ht="12.75">
      <c r="B1457" s="603"/>
      <c r="C1457" s="1186"/>
      <c r="D1457" s="562"/>
      <c r="E1457" s="562"/>
      <c r="F1457" s="562"/>
      <c r="G1457" s="562"/>
      <c r="H1457" s="562"/>
      <c r="I1457" s="562"/>
      <c r="J1457" s="563"/>
    </row>
    <row r="1458" spans="2:10" ht="12.75">
      <c r="B1458" s="603"/>
      <c r="C1458" s="1186"/>
      <c r="D1458" s="562"/>
      <c r="E1458" s="562"/>
      <c r="F1458" s="562"/>
      <c r="G1458" s="562"/>
      <c r="H1458" s="562"/>
      <c r="I1458" s="562"/>
      <c r="J1458" s="563"/>
    </row>
    <row r="1459" spans="2:10" ht="12.75">
      <c r="B1459" s="603"/>
      <c r="C1459" s="1186"/>
      <c r="D1459" s="562"/>
      <c r="E1459" s="562"/>
      <c r="F1459" s="562"/>
      <c r="G1459" s="562"/>
      <c r="H1459" s="562"/>
      <c r="I1459" s="562"/>
      <c r="J1459" s="563"/>
    </row>
    <row r="1460" spans="2:10" ht="12.75">
      <c r="B1460" s="603"/>
      <c r="C1460" s="1186"/>
      <c r="D1460" s="562"/>
      <c r="E1460" s="562"/>
      <c r="F1460" s="562"/>
      <c r="G1460" s="562"/>
      <c r="H1460" s="562"/>
      <c r="I1460" s="562"/>
      <c r="J1460" s="563"/>
    </row>
    <row r="1461" spans="2:10" ht="12.75">
      <c r="B1461" s="603"/>
      <c r="C1461" s="1186"/>
      <c r="D1461" s="562"/>
      <c r="E1461" s="562"/>
      <c r="F1461" s="562"/>
      <c r="G1461" s="562"/>
      <c r="H1461" s="562"/>
      <c r="I1461" s="562"/>
      <c r="J1461" s="563"/>
    </row>
    <row r="1462" spans="2:10" ht="12.75">
      <c r="B1462" s="603"/>
      <c r="C1462" s="1186"/>
      <c r="D1462" s="562"/>
      <c r="E1462" s="562"/>
      <c r="F1462" s="562"/>
      <c r="G1462" s="562"/>
      <c r="H1462" s="562"/>
      <c r="I1462" s="562"/>
      <c r="J1462" s="563"/>
    </row>
    <row r="1463" spans="2:10" ht="12.75">
      <c r="B1463" s="603"/>
      <c r="C1463" s="1186"/>
      <c r="D1463" s="562"/>
      <c r="E1463" s="562"/>
      <c r="F1463" s="562"/>
      <c r="G1463" s="562"/>
      <c r="H1463" s="562"/>
      <c r="I1463" s="562"/>
      <c r="J1463" s="563"/>
    </row>
    <row r="1464" spans="2:10" ht="12.75">
      <c r="B1464" s="603"/>
      <c r="C1464" s="1186"/>
      <c r="D1464" s="562"/>
      <c r="E1464" s="562"/>
      <c r="F1464" s="562"/>
      <c r="G1464" s="562"/>
      <c r="H1464" s="562"/>
      <c r="I1464" s="562"/>
      <c r="J1464" s="563"/>
    </row>
    <row r="1465" spans="2:10" ht="12.75">
      <c r="B1465" s="603"/>
      <c r="C1465" s="1186"/>
      <c r="D1465" s="562"/>
      <c r="E1465" s="562"/>
      <c r="F1465" s="562"/>
      <c r="G1465" s="562"/>
      <c r="H1465" s="562"/>
      <c r="I1465" s="562"/>
      <c r="J1465" s="563"/>
    </row>
    <row r="1466" spans="2:10" ht="12.75">
      <c r="B1466" s="603"/>
      <c r="C1466" s="1186"/>
      <c r="D1466" s="562"/>
      <c r="E1466" s="562"/>
      <c r="F1466" s="562"/>
      <c r="G1466" s="562"/>
      <c r="H1466" s="562"/>
      <c r="I1466" s="562"/>
      <c r="J1466" s="563"/>
    </row>
    <row r="1467" spans="2:10" ht="12.75">
      <c r="B1467" s="603"/>
      <c r="C1467" s="1186"/>
      <c r="D1467" s="562"/>
      <c r="E1467" s="562"/>
      <c r="F1467" s="562"/>
      <c r="G1467" s="562"/>
      <c r="H1467" s="562"/>
      <c r="I1467" s="562"/>
      <c r="J1467" s="563"/>
    </row>
    <row r="1468" spans="2:10" ht="12.75">
      <c r="B1468" s="603"/>
      <c r="C1468" s="1186"/>
      <c r="D1468" s="562"/>
      <c r="E1468" s="562"/>
      <c r="F1468" s="562"/>
      <c r="G1468" s="562"/>
      <c r="H1468" s="562"/>
      <c r="I1468" s="562"/>
      <c r="J1468" s="563"/>
    </row>
    <row r="1469" spans="2:10" ht="12.75">
      <c r="B1469" s="603"/>
      <c r="C1469" s="1186"/>
      <c r="D1469" s="562"/>
      <c r="E1469" s="562"/>
      <c r="F1469" s="562"/>
      <c r="G1469" s="562"/>
      <c r="H1469" s="562"/>
      <c r="I1469" s="562"/>
      <c r="J1469" s="563"/>
    </row>
    <row r="1470" spans="2:10" ht="12.75">
      <c r="B1470" s="603"/>
      <c r="C1470" s="1186"/>
      <c r="D1470" s="562"/>
      <c r="E1470" s="562"/>
      <c r="F1470" s="562"/>
      <c r="G1470" s="562"/>
      <c r="H1470" s="562"/>
      <c r="I1470" s="562"/>
      <c r="J1470" s="563"/>
    </row>
    <row r="1471" spans="2:10" ht="12.75">
      <c r="B1471" s="603"/>
      <c r="C1471" s="1186"/>
      <c r="D1471" s="562"/>
      <c r="E1471" s="562"/>
      <c r="F1471" s="562"/>
      <c r="G1471" s="562"/>
      <c r="H1471" s="562"/>
      <c r="I1471" s="562"/>
      <c r="J1471" s="563"/>
    </row>
    <row r="1472" spans="2:10" ht="12.75">
      <c r="B1472" s="603"/>
      <c r="C1472" s="1186"/>
      <c r="D1472" s="562"/>
      <c r="E1472" s="562"/>
      <c r="F1472" s="562"/>
      <c r="G1472" s="562"/>
      <c r="H1472" s="562"/>
      <c r="I1472" s="562"/>
      <c r="J1472" s="563"/>
    </row>
    <row r="1473" spans="2:10" ht="12.75">
      <c r="B1473" s="603"/>
      <c r="C1473" s="1186"/>
      <c r="D1473" s="562"/>
      <c r="E1473" s="562"/>
      <c r="F1473" s="562"/>
      <c r="G1473" s="562"/>
      <c r="H1473" s="562"/>
      <c r="I1473" s="562"/>
      <c r="J1473" s="563"/>
    </row>
    <row r="1474" spans="2:10" ht="12.75">
      <c r="B1474" s="603"/>
      <c r="C1474" s="1186"/>
      <c r="D1474" s="562"/>
      <c r="E1474" s="562"/>
      <c r="F1474" s="562"/>
      <c r="G1474" s="562"/>
      <c r="H1474" s="562"/>
      <c r="I1474" s="562"/>
      <c r="J1474" s="563"/>
    </row>
    <row r="1475" spans="2:10" ht="12.75">
      <c r="B1475" s="603"/>
      <c r="C1475" s="1186"/>
      <c r="D1475" s="562"/>
      <c r="E1475" s="562"/>
      <c r="F1475" s="562"/>
      <c r="G1475" s="562"/>
      <c r="H1475" s="562"/>
      <c r="I1475" s="562"/>
      <c r="J1475" s="563"/>
    </row>
    <row r="1476" spans="2:10" ht="12.75">
      <c r="B1476" s="603"/>
      <c r="C1476" s="1186"/>
      <c r="D1476" s="562"/>
      <c r="E1476" s="562"/>
      <c r="F1476" s="562"/>
      <c r="G1476" s="562"/>
      <c r="H1476" s="562"/>
      <c r="I1476" s="562"/>
      <c r="J1476" s="563"/>
    </row>
    <row r="1477" spans="2:10" ht="12.75">
      <c r="B1477" s="603"/>
      <c r="C1477" s="1186"/>
      <c r="D1477" s="562"/>
      <c r="E1477" s="562"/>
      <c r="F1477" s="562"/>
      <c r="G1477" s="562"/>
      <c r="H1477" s="562"/>
      <c r="I1477" s="562"/>
      <c r="J1477" s="563"/>
    </row>
    <row r="1478" spans="2:10" ht="12.75">
      <c r="B1478" s="603"/>
      <c r="C1478" s="1186"/>
      <c r="D1478" s="562"/>
      <c r="E1478" s="562"/>
      <c r="F1478" s="562"/>
      <c r="G1478" s="562"/>
      <c r="H1478" s="562"/>
      <c r="I1478" s="562"/>
      <c r="J1478" s="563"/>
    </row>
    <row r="1479" spans="2:10" ht="12.75">
      <c r="B1479" s="603"/>
      <c r="C1479" s="1186"/>
      <c r="D1479" s="562"/>
      <c r="E1479" s="562"/>
      <c r="F1479" s="562"/>
      <c r="G1479" s="562"/>
      <c r="H1479" s="562"/>
      <c r="I1479" s="562"/>
      <c r="J1479" s="563"/>
    </row>
    <row r="1480" spans="2:10" ht="12.75">
      <c r="B1480" s="603"/>
      <c r="C1480" s="1186"/>
      <c r="D1480" s="562"/>
      <c r="E1480" s="562"/>
      <c r="F1480" s="562"/>
      <c r="G1480" s="562"/>
      <c r="H1480" s="562"/>
      <c r="I1480" s="562"/>
      <c r="J1480" s="563"/>
    </row>
    <row r="1481" spans="2:10" ht="12.75">
      <c r="B1481" s="603"/>
      <c r="C1481" s="1186"/>
      <c r="D1481" s="562"/>
      <c r="E1481" s="562"/>
      <c r="F1481" s="562"/>
      <c r="G1481" s="562"/>
      <c r="H1481" s="562"/>
      <c r="I1481" s="562"/>
      <c r="J1481" s="563"/>
    </row>
    <row r="1482" spans="2:10" ht="12.75">
      <c r="B1482" s="603"/>
      <c r="C1482" s="1186"/>
      <c r="D1482" s="562"/>
      <c r="E1482" s="562"/>
      <c r="F1482" s="562"/>
      <c r="G1482" s="562"/>
      <c r="H1482" s="562"/>
      <c r="I1482" s="562"/>
      <c r="J1482" s="563"/>
    </row>
    <row r="1483" spans="2:10" ht="12.75">
      <c r="B1483" s="603"/>
      <c r="C1483" s="1186"/>
      <c r="D1483" s="562"/>
      <c r="E1483" s="562"/>
      <c r="F1483" s="562"/>
      <c r="G1483" s="562"/>
      <c r="H1483" s="562"/>
      <c r="I1483" s="562"/>
      <c r="J1483" s="563"/>
    </row>
    <row r="1484" spans="2:10" ht="12.75">
      <c r="B1484" s="603"/>
      <c r="C1484" s="1186"/>
      <c r="D1484" s="562"/>
      <c r="E1484" s="562"/>
      <c r="F1484" s="562"/>
      <c r="G1484" s="562"/>
      <c r="H1484" s="562"/>
      <c r="I1484" s="562"/>
      <c r="J1484" s="563"/>
    </row>
    <row r="1485" spans="2:10" ht="12.75">
      <c r="B1485" s="603"/>
      <c r="C1485" s="1186"/>
      <c r="D1485" s="562"/>
      <c r="E1485" s="562"/>
      <c r="F1485" s="562"/>
      <c r="G1485" s="562"/>
      <c r="H1485" s="562"/>
      <c r="I1485" s="562"/>
      <c r="J1485" s="563"/>
    </row>
    <row r="1486" spans="2:10" ht="12.75">
      <c r="B1486" s="603"/>
      <c r="C1486" s="1186"/>
      <c r="D1486" s="562"/>
      <c r="E1486" s="562"/>
      <c r="F1486" s="562"/>
      <c r="G1486" s="562"/>
      <c r="H1486" s="562"/>
      <c r="I1486" s="562"/>
      <c r="J1486" s="563"/>
    </row>
    <row r="1487" spans="2:10" ht="12.75">
      <c r="B1487" s="603"/>
      <c r="C1487" s="1186"/>
      <c r="D1487" s="562"/>
      <c r="E1487" s="562"/>
      <c r="F1487" s="562"/>
      <c r="G1487" s="562"/>
      <c r="H1487" s="562"/>
      <c r="I1487" s="562"/>
      <c r="J1487" s="563"/>
    </row>
    <row r="1488" spans="2:10" ht="12.75">
      <c r="B1488" s="603"/>
      <c r="C1488" s="1186"/>
      <c r="D1488" s="562"/>
      <c r="E1488" s="562"/>
      <c r="F1488" s="562"/>
      <c r="G1488" s="562"/>
      <c r="H1488" s="562"/>
      <c r="I1488" s="562"/>
      <c r="J1488" s="563"/>
    </row>
    <row r="1489" spans="2:10" ht="12.75">
      <c r="B1489" s="603"/>
      <c r="C1489" s="1186"/>
      <c r="D1489" s="562"/>
      <c r="E1489" s="562"/>
      <c r="F1489" s="562"/>
      <c r="G1489" s="562"/>
      <c r="H1489" s="562"/>
      <c r="I1489" s="562"/>
      <c r="J1489" s="563"/>
    </row>
    <row r="1490" spans="2:10" ht="12.75">
      <c r="B1490" s="603"/>
      <c r="C1490" s="1186"/>
      <c r="D1490" s="562"/>
      <c r="E1490" s="562"/>
      <c r="F1490" s="562"/>
      <c r="G1490" s="562"/>
      <c r="H1490" s="562"/>
      <c r="I1490" s="562"/>
      <c r="J1490" s="563"/>
    </row>
    <row r="1491" spans="2:10" ht="12.75">
      <c r="B1491" s="603"/>
      <c r="C1491" s="1186"/>
      <c r="D1491" s="562"/>
      <c r="E1491" s="562"/>
      <c r="F1491" s="562"/>
      <c r="G1491" s="562"/>
      <c r="H1491" s="562"/>
      <c r="I1491" s="562"/>
      <c r="J1491" s="563"/>
    </row>
    <row r="1492" spans="2:10" ht="12.75">
      <c r="B1492" s="603"/>
      <c r="C1492" s="1186"/>
      <c r="D1492" s="562"/>
      <c r="E1492" s="562"/>
      <c r="F1492" s="562"/>
      <c r="G1492" s="562"/>
      <c r="H1492" s="562"/>
      <c r="I1492" s="562"/>
      <c r="J1492" s="563"/>
    </row>
    <row r="1493" spans="2:10" ht="12.75">
      <c r="B1493" s="603"/>
      <c r="C1493" s="1186"/>
      <c r="D1493" s="562"/>
      <c r="E1493" s="562"/>
      <c r="F1493" s="562"/>
      <c r="G1493" s="562"/>
      <c r="H1493" s="562"/>
      <c r="I1493" s="562"/>
      <c r="J1493" s="563"/>
    </row>
    <row r="1494" spans="2:10" ht="12.75">
      <c r="B1494" s="603"/>
      <c r="C1494" s="1186"/>
      <c r="D1494" s="562"/>
      <c r="E1494" s="562"/>
      <c r="F1494" s="562"/>
      <c r="G1494" s="562"/>
      <c r="H1494" s="562"/>
      <c r="I1494" s="562"/>
      <c r="J1494" s="563"/>
    </row>
    <row r="1495" spans="2:10" ht="12.75">
      <c r="B1495" s="603"/>
      <c r="C1495" s="1186"/>
      <c r="D1495" s="562"/>
      <c r="E1495" s="562"/>
      <c r="F1495" s="562"/>
      <c r="G1495" s="562"/>
      <c r="H1495" s="562"/>
      <c r="I1495" s="562"/>
      <c r="J1495" s="563"/>
    </row>
    <row r="1496" spans="2:10" ht="12.75">
      <c r="B1496" s="603"/>
      <c r="C1496" s="1186"/>
      <c r="D1496" s="562"/>
      <c r="E1496" s="562"/>
      <c r="F1496" s="562"/>
      <c r="G1496" s="562"/>
      <c r="H1496" s="562"/>
      <c r="I1496" s="562"/>
      <c r="J1496" s="563"/>
    </row>
    <row r="1497" spans="2:10" ht="12.75">
      <c r="B1497" s="603"/>
      <c r="C1497" s="1186"/>
      <c r="D1497" s="562"/>
      <c r="E1497" s="562"/>
      <c r="F1497" s="562"/>
      <c r="G1497" s="562"/>
      <c r="H1497" s="562"/>
      <c r="I1497" s="562"/>
      <c r="J1497" s="563"/>
    </row>
    <row r="1498" spans="2:10" ht="12.75">
      <c r="B1498" s="603"/>
      <c r="C1498" s="1186"/>
      <c r="D1498" s="562"/>
      <c r="E1498" s="562"/>
      <c r="F1498" s="562"/>
      <c r="G1498" s="562"/>
      <c r="H1498" s="562"/>
      <c r="I1498" s="562"/>
      <c r="J1498" s="563"/>
    </row>
    <row r="1499" spans="2:10" ht="12.75">
      <c r="B1499" s="603"/>
      <c r="C1499" s="1186"/>
      <c r="D1499" s="562"/>
      <c r="E1499" s="562"/>
      <c r="F1499" s="562"/>
      <c r="G1499" s="562"/>
      <c r="H1499" s="562"/>
      <c r="I1499" s="562"/>
      <c r="J1499" s="563"/>
    </row>
    <row r="1500" spans="2:10" ht="12.75">
      <c r="B1500" s="603"/>
      <c r="C1500" s="1186"/>
      <c r="D1500" s="562"/>
      <c r="E1500" s="562"/>
      <c r="F1500" s="562"/>
      <c r="G1500" s="562"/>
      <c r="H1500" s="562"/>
      <c r="I1500" s="562"/>
      <c r="J1500" s="563"/>
    </row>
    <row r="1501" spans="2:10" ht="12.75">
      <c r="B1501" s="603"/>
      <c r="C1501" s="1186"/>
      <c r="D1501" s="562"/>
      <c r="E1501" s="562"/>
      <c r="F1501" s="562"/>
      <c r="G1501" s="562"/>
      <c r="H1501" s="562"/>
      <c r="I1501" s="562"/>
      <c r="J1501" s="563"/>
    </row>
    <row r="1502" spans="2:10" ht="12.75">
      <c r="B1502" s="603"/>
      <c r="C1502" s="1186"/>
      <c r="D1502" s="562"/>
      <c r="E1502" s="562"/>
      <c r="F1502" s="562"/>
      <c r="G1502" s="562"/>
      <c r="H1502" s="562"/>
      <c r="I1502" s="562"/>
      <c r="J1502" s="563"/>
    </row>
    <row r="1503" spans="2:10" ht="12.75">
      <c r="B1503" s="603"/>
      <c r="C1503" s="1186"/>
      <c r="D1503" s="562"/>
      <c r="E1503" s="562"/>
      <c r="F1503" s="562"/>
      <c r="G1503" s="562"/>
      <c r="H1503" s="562"/>
      <c r="I1503" s="562"/>
      <c r="J1503" s="563"/>
    </row>
    <row r="1504" spans="2:10" ht="12.75">
      <c r="B1504" s="603"/>
      <c r="C1504" s="1186"/>
      <c r="D1504" s="562"/>
      <c r="E1504" s="562"/>
      <c r="F1504" s="562"/>
      <c r="G1504" s="562"/>
      <c r="H1504" s="562"/>
      <c r="I1504" s="562"/>
      <c r="J1504" s="563"/>
    </row>
    <row r="1505" spans="2:10" ht="12.75">
      <c r="B1505" s="603"/>
      <c r="C1505" s="1186"/>
      <c r="D1505" s="562"/>
      <c r="E1505" s="562"/>
      <c r="F1505" s="562"/>
      <c r="G1505" s="562"/>
      <c r="H1505" s="562"/>
      <c r="I1505" s="562"/>
      <c r="J1505" s="563"/>
    </row>
    <row r="1506" spans="2:10" ht="12.75">
      <c r="B1506" s="603"/>
      <c r="C1506" s="1186"/>
      <c r="D1506" s="562"/>
      <c r="E1506" s="562"/>
      <c r="F1506" s="562"/>
      <c r="G1506" s="562"/>
      <c r="H1506" s="562"/>
      <c r="I1506" s="562"/>
      <c r="J1506" s="563"/>
    </row>
    <row r="1507" spans="2:10" ht="12.75">
      <c r="B1507" s="603"/>
      <c r="C1507" s="1186"/>
      <c r="D1507" s="562"/>
      <c r="E1507" s="562"/>
      <c r="F1507" s="562"/>
      <c r="G1507" s="562"/>
      <c r="H1507" s="562"/>
      <c r="I1507" s="562"/>
      <c r="J1507" s="563"/>
    </row>
    <row r="1508" spans="2:10" ht="12.75">
      <c r="B1508" s="603"/>
      <c r="C1508" s="1186"/>
      <c r="D1508" s="562"/>
      <c r="E1508" s="562"/>
      <c r="F1508" s="562"/>
      <c r="G1508" s="562"/>
      <c r="H1508" s="562"/>
      <c r="I1508" s="562"/>
      <c r="J1508" s="563"/>
    </row>
    <row r="1509" spans="2:10" ht="12.75">
      <c r="B1509" s="603"/>
      <c r="C1509" s="1186"/>
      <c r="D1509" s="562"/>
      <c r="E1509" s="562"/>
      <c r="F1509" s="562"/>
      <c r="G1509" s="562"/>
      <c r="H1509" s="562"/>
      <c r="I1509" s="562"/>
      <c r="J1509" s="563"/>
    </row>
    <row r="1510" spans="2:10" ht="12.75">
      <c r="B1510" s="603"/>
      <c r="C1510" s="1186"/>
      <c r="D1510" s="562"/>
      <c r="E1510" s="562"/>
      <c r="F1510" s="562"/>
      <c r="G1510" s="562"/>
      <c r="H1510" s="562"/>
      <c r="I1510" s="562"/>
      <c r="J1510" s="563"/>
    </row>
    <row r="1511" spans="2:10" ht="12.75">
      <c r="B1511" s="603"/>
      <c r="C1511" s="1186"/>
      <c r="D1511" s="562"/>
      <c r="E1511" s="562"/>
      <c r="F1511" s="562"/>
      <c r="G1511" s="562"/>
      <c r="H1511" s="562"/>
      <c r="I1511" s="562"/>
      <c r="J1511" s="563"/>
    </row>
    <row r="1512" spans="2:10" ht="12.75">
      <c r="B1512" s="603"/>
      <c r="C1512" s="1186"/>
      <c r="D1512" s="562"/>
      <c r="E1512" s="562"/>
      <c r="F1512" s="562"/>
      <c r="G1512" s="562"/>
      <c r="H1512" s="562"/>
      <c r="I1512" s="562"/>
      <c r="J1512" s="563"/>
    </row>
    <row r="1513" spans="2:10" ht="12.75">
      <c r="B1513" s="603"/>
      <c r="C1513" s="1186"/>
      <c r="D1513" s="562"/>
      <c r="E1513" s="562"/>
      <c r="F1513" s="562"/>
      <c r="G1513" s="562"/>
      <c r="H1513" s="562"/>
      <c r="I1513" s="562"/>
      <c r="J1513" s="563"/>
    </row>
    <row r="1514" spans="2:10" ht="12.75">
      <c r="B1514" s="603"/>
      <c r="C1514" s="1186"/>
      <c r="D1514" s="562"/>
      <c r="E1514" s="562"/>
      <c r="F1514" s="562"/>
      <c r="G1514" s="562"/>
      <c r="H1514" s="562"/>
      <c r="I1514" s="562"/>
      <c r="J1514" s="563"/>
    </row>
    <row r="1515" spans="2:10" ht="12.75">
      <c r="B1515" s="603"/>
      <c r="C1515" s="1186"/>
      <c r="D1515" s="562"/>
      <c r="E1515" s="562"/>
      <c r="F1515" s="562"/>
      <c r="G1515" s="562"/>
      <c r="H1515" s="562"/>
      <c r="I1515" s="562"/>
      <c r="J1515" s="563"/>
    </row>
    <row r="1516" spans="2:10" ht="12.75">
      <c r="B1516" s="603"/>
      <c r="C1516" s="1186"/>
      <c r="D1516" s="562"/>
      <c r="E1516" s="562"/>
      <c r="F1516" s="562"/>
      <c r="G1516" s="562"/>
      <c r="H1516" s="562"/>
      <c r="I1516" s="562"/>
      <c r="J1516" s="563"/>
    </row>
    <row r="1517" spans="2:10" ht="12.75">
      <c r="B1517" s="603"/>
      <c r="C1517" s="1186"/>
      <c r="D1517" s="562"/>
      <c r="E1517" s="562"/>
      <c r="F1517" s="562"/>
      <c r="G1517" s="562"/>
      <c r="H1517" s="562"/>
      <c r="I1517" s="562"/>
      <c r="J1517" s="563"/>
    </row>
    <row r="1518" spans="2:10" ht="12.75">
      <c r="B1518" s="603"/>
      <c r="C1518" s="1186"/>
      <c r="D1518" s="562"/>
      <c r="E1518" s="562"/>
      <c r="F1518" s="562"/>
      <c r="G1518" s="562"/>
      <c r="H1518" s="562"/>
      <c r="I1518" s="562"/>
      <c r="J1518" s="563"/>
    </row>
    <row r="1519" spans="2:10" ht="12.75">
      <c r="B1519" s="603"/>
      <c r="C1519" s="1186"/>
      <c r="D1519" s="562"/>
      <c r="E1519" s="562"/>
      <c r="F1519" s="562"/>
      <c r="G1519" s="562"/>
      <c r="H1519" s="562"/>
      <c r="I1519" s="562"/>
      <c r="J1519" s="563"/>
    </row>
    <row r="1520" spans="2:10" ht="12.75">
      <c r="B1520" s="603"/>
      <c r="C1520" s="1186"/>
      <c r="D1520" s="562"/>
      <c r="E1520" s="562"/>
      <c r="F1520" s="562"/>
      <c r="G1520" s="562"/>
      <c r="H1520" s="562"/>
      <c r="I1520" s="562"/>
      <c r="J1520" s="563"/>
    </row>
    <row r="1521" spans="2:10" ht="12.75">
      <c r="B1521" s="603"/>
      <c r="C1521" s="1186"/>
      <c r="D1521" s="562"/>
      <c r="E1521" s="562"/>
      <c r="F1521" s="562"/>
      <c r="G1521" s="562"/>
      <c r="H1521" s="562"/>
      <c r="I1521" s="562"/>
      <c r="J1521" s="563"/>
    </row>
    <row r="1522" spans="2:10" ht="12.75">
      <c r="B1522" s="603"/>
      <c r="C1522" s="1186"/>
      <c r="D1522" s="562"/>
      <c r="E1522" s="562"/>
      <c r="F1522" s="562"/>
      <c r="G1522" s="562"/>
      <c r="H1522" s="562"/>
      <c r="I1522" s="562"/>
      <c r="J1522" s="563"/>
    </row>
    <row r="1523" spans="2:10" ht="12.75">
      <c r="B1523" s="603"/>
      <c r="C1523" s="1186"/>
      <c r="D1523" s="562"/>
      <c r="E1523" s="562"/>
      <c r="F1523" s="562"/>
      <c r="G1523" s="562"/>
      <c r="H1523" s="562"/>
      <c r="I1523" s="562"/>
      <c r="J1523" s="563"/>
    </row>
    <row r="1524" spans="2:10" ht="12.75">
      <c r="B1524" s="603"/>
      <c r="C1524" s="1186"/>
      <c r="D1524" s="562"/>
      <c r="E1524" s="562"/>
      <c r="F1524" s="562"/>
      <c r="G1524" s="562"/>
      <c r="H1524" s="562"/>
      <c r="I1524" s="562"/>
      <c r="J1524" s="563"/>
    </row>
    <row r="1525" spans="2:10" ht="12.75">
      <c r="B1525" s="603"/>
      <c r="C1525" s="1186"/>
      <c r="D1525" s="562"/>
      <c r="E1525" s="562"/>
      <c r="F1525" s="562"/>
      <c r="G1525" s="562"/>
      <c r="H1525" s="562"/>
      <c r="I1525" s="562"/>
      <c r="J1525" s="563"/>
    </row>
    <row r="1526" spans="2:10" ht="12.75">
      <c r="B1526" s="603"/>
      <c r="C1526" s="1186"/>
      <c r="D1526" s="562"/>
      <c r="E1526" s="562"/>
      <c r="F1526" s="562"/>
      <c r="G1526" s="562"/>
      <c r="H1526" s="562"/>
      <c r="I1526" s="562"/>
      <c r="J1526" s="563"/>
    </row>
    <row r="1527" spans="2:10" ht="12.75">
      <c r="B1527" s="603"/>
      <c r="C1527" s="1186"/>
      <c r="D1527" s="562"/>
      <c r="E1527" s="562"/>
      <c r="F1527" s="562"/>
      <c r="G1527" s="562"/>
      <c r="H1527" s="562"/>
      <c r="I1527" s="562"/>
      <c r="J1527" s="563"/>
    </row>
    <row r="1528" spans="2:10" ht="12.75">
      <c r="B1528" s="603"/>
      <c r="C1528" s="1186"/>
      <c r="D1528" s="562"/>
      <c r="E1528" s="562"/>
      <c r="F1528" s="562"/>
      <c r="G1528" s="562"/>
      <c r="H1528" s="562"/>
      <c r="I1528" s="562"/>
      <c r="J1528" s="563"/>
    </row>
    <row r="1529" spans="2:10" ht="12.75">
      <c r="B1529" s="603"/>
      <c r="C1529" s="1186"/>
      <c r="D1529" s="562"/>
      <c r="E1529" s="562"/>
      <c r="F1529" s="562"/>
      <c r="G1529" s="562"/>
      <c r="H1529" s="562"/>
      <c r="I1529" s="562"/>
      <c r="J1529" s="563"/>
    </row>
    <row r="1530" spans="2:10" ht="12.75">
      <c r="B1530" s="603"/>
      <c r="C1530" s="1186"/>
      <c r="D1530" s="562"/>
      <c r="E1530" s="562"/>
      <c r="F1530" s="562"/>
      <c r="G1530" s="562"/>
      <c r="H1530" s="562"/>
      <c r="I1530" s="562"/>
      <c r="J1530" s="563"/>
    </row>
    <row r="1531" spans="2:10" ht="12.75">
      <c r="B1531" s="603"/>
      <c r="C1531" s="1186"/>
      <c r="D1531" s="562"/>
      <c r="E1531" s="562"/>
      <c r="F1531" s="562"/>
      <c r="G1531" s="562"/>
      <c r="H1531" s="562"/>
      <c r="I1531" s="562"/>
      <c r="J1531" s="563"/>
    </row>
    <row r="1532" spans="2:10" ht="12.75">
      <c r="B1532" s="603"/>
      <c r="C1532" s="1186"/>
      <c r="D1532" s="562"/>
      <c r="E1532" s="562"/>
      <c r="F1532" s="562"/>
      <c r="G1532" s="562"/>
      <c r="H1532" s="562"/>
      <c r="I1532" s="562"/>
      <c r="J1532" s="563"/>
    </row>
    <row r="1533" spans="2:10" ht="12.75">
      <c r="B1533" s="603"/>
      <c r="C1533" s="1186"/>
      <c r="D1533" s="562"/>
      <c r="E1533" s="562"/>
      <c r="F1533" s="562"/>
      <c r="G1533" s="562"/>
      <c r="H1533" s="562"/>
      <c r="I1533" s="562"/>
      <c r="J1533" s="563"/>
    </row>
    <row r="1534" spans="2:10" ht="12.75">
      <c r="B1534" s="603"/>
      <c r="C1534" s="1186"/>
      <c r="D1534" s="562"/>
      <c r="E1534" s="562"/>
      <c r="F1534" s="562"/>
      <c r="G1534" s="562"/>
      <c r="H1534" s="562"/>
      <c r="I1534" s="562"/>
      <c r="J1534" s="563"/>
    </row>
    <row r="1535" spans="2:10" ht="12.75">
      <c r="B1535" s="603"/>
      <c r="C1535" s="1186"/>
      <c r="D1535" s="562"/>
      <c r="E1535" s="562"/>
      <c r="F1535" s="562"/>
      <c r="G1535" s="562"/>
      <c r="H1535" s="562"/>
      <c r="I1535" s="562"/>
      <c r="J1535" s="563"/>
    </row>
    <row r="1536" spans="2:10" ht="12.75">
      <c r="B1536" s="603"/>
      <c r="C1536" s="1186"/>
      <c r="D1536" s="562"/>
      <c r="E1536" s="562"/>
      <c r="F1536" s="562"/>
      <c r="G1536" s="562"/>
      <c r="H1536" s="562"/>
      <c r="I1536" s="562"/>
      <c r="J1536" s="563"/>
    </row>
    <row r="1537" spans="2:10" ht="12.75">
      <c r="B1537" s="603"/>
      <c r="C1537" s="1186"/>
      <c r="D1537" s="562"/>
      <c r="E1537" s="562"/>
      <c r="F1537" s="562"/>
      <c r="G1537" s="562"/>
      <c r="H1537" s="562"/>
      <c r="I1537" s="562"/>
      <c r="J1537" s="563"/>
    </row>
    <row r="1538" spans="2:10" ht="12.75">
      <c r="B1538" s="603"/>
      <c r="C1538" s="1186"/>
      <c r="D1538" s="562"/>
      <c r="E1538" s="562"/>
      <c r="F1538" s="562"/>
      <c r="G1538" s="562"/>
      <c r="H1538" s="562"/>
      <c r="I1538" s="562"/>
      <c r="J1538" s="563"/>
    </row>
    <row r="1539" spans="2:10" ht="12.75">
      <c r="B1539" s="603"/>
      <c r="C1539" s="1186"/>
      <c r="D1539" s="562"/>
      <c r="E1539" s="562"/>
      <c r="F1539" s="562"/>
      <c r="G1539" s="562"/>
      <c r="H1539" s="562"/>
      <c r="I1539" s="562"/>
      <c r="J1539" s="563"/>
    </row>
    <row r="1540" spans="2:10" ht="12.75">
      <c r="B1540" s="603"/>
      <c r="C1540" s="1186"/>
      <c r="D1540" s="562"/>
      <c r="E1540" s="562"/>
      <c r="F1540" s="562"/>
      <c r="G1540" s="562"/>
      <c r="H1540" s="562"/>
      <c r="I1540" s="562"/>
      <c r="J1540" s="563"/>
    </row>
    <row r="1541" spans="2:10" ht="12.75">
      <c r="B1541" s="603"/>
      <c r="C1541" s="1186"/>
      <c r="D1541" s="562"/>
      <c r="E1541" s="562"/>
      <c r="F1541" s="562"/>
      <c r="G1541" s="562"/>
      <c r="H1541" s="562"/>
      <c r="I1541" s="562"/>
      <c r="J1541" s="563"/>
    </row>
    <row r="1542" spans="2:10" ht="12.75">
      <c r="B1542" s="603"/>
      <c r="C1542" s="1186"/>
      <c r="D1542" s="562"/>
      <c r="E1542" s="562"/>
      <c r="F1542" s="562"/>
      <c r="G1542" s="562"/>
      <c r="H1542" s="562"/>
      <c r="I1542" s="562"/>
      <c r="J1542" s="563"/>
    </row>
    <row r="1543" spans="2:10" ht="12.75">
      <c r="B1543" s="603"/>
      <c r="C1543" s="1186"/>
      <c r="D1543" s="562"/>
      <c r="E1543" s="562"/>
      <c r="F1543" s="562"/>
      <c r="G1543" s="562"/>
      <c r="H1543" s="562"/>
      <c r="I1543" s="562"/>
      <c r="J1543" s="563"/>
    </row>
    <row r="1544" spans="2:10" ht="12.75">
      <c r="B1544" s="603"/>
      <c r="C1544" s="1186"/>
      <c r="D1544" s="562"/>
      <c r="E1544" s="562"/>
      <c r="F1544" s="562"/>
      <c r="G1544" s="562"/>
      <c r="H1544" s="562"/>
      <c r="I1544" s="562"/>
      <c r="J1544" s="563"/>
    </row>
    <row r="1545" spans="2:10" ht="12.75">
      <c r="B1545" s="603"/>
      <c r="C1545" s="1186"/>
      <c r="D1545" s="562"/>
      <c r="E1545" s="562"/>
      <c r="F1545" s="562"/>
      <c r="G1545" s="562"/>
      <c r="H1545" s="562"/>
      <c r="I1545" s="562"/>
      <c r="J1545" s="563"/>
    </row>
    <row r="1546" spans="2:10" ht="12.75">
      <c r="B1546" s="603"/>
      <c r="C1546" s="1186"/>
      <c r="D1546" s="562"/>
      <c r="E1546" s="562"/>
      <c r="F1546" s="562"/>
      <c r="G1546" s="562"/>
      <c r="H1546" s="562"/>
      <c r="I1546" s="562"/>
      <c r="J1546" s="563"/>
    </row>
    <row r="1547" spans="2:10" ht="12.75">
      <c r="B1547" s="603"/>
      <c r="C1547" s="1186"/>
      <c r="D1547" s="562"/>
      <c r="E1547" s="562"/>
      <c r="F1547" s="562"/>
      <c r="G1547" s="562"/>
      <c r="H1547" s="562"/>
      <c r="I1547" s="562"/>
      <c r="J1547" s="563"/>
    </row>
    <row r="1548" spans="2:10" ht="12.75">
      <c r="B1548" s="603"/>
      <c r="C1548" s="1186"/>
      <c r="D1548" s="562"/>
      <c r="E1548" s="562"/>
      <c r="F1548" s="562"/>
      <c r="G1548" s="562"/>
      <c r="H1548" s="562"/>
      <c r="I1548" s="562"/>
      <c r="J1548" s="563"/>
    </row>
    <row r="1549" spans="2:10" ht="12.75">
      <c r="B1549" s="603"/>
      <c r="C1549" s="1186"/>
      <c r="D1549" s="562"/>
      <c r="E1549" s="562"/>
      <c r="F1549" s="562"/>
      <c r="G1549" s="562"/>
      <c r="H1549" s="562"/>
      <c r="I1549" s="562"/>
      <c r="J1549" s="563"/>
    </row>
    <row r="1550" spans="2:10" ht="12.75">
      <c r="B1550" s="603"/>
      <c r="C1550" s="1186"/>
      <c r="D1550" s="562"/>
      <c r="E1550" s="562"/>
      <c r="F1550" s="562"/>
      <c r="G1550" s="562"/>
      <c r="H1550" s="562"/>
      <c r="I1550" s="562"/>
      <c r="J1550" s="563"/>
    </row>
    <row r="1551" spans="2:10" ht="12.75">
      <c r="B1551" s="603"/>
      <c r="C1551" s="1186"/>
      <c r="D1551" s="562"/>
      <c r="E1551" s="562"/>
      <c r="F1551" s="562"/>
      <c r="G1551" s="562"/>
      <c r="H1551" s="562"/>
      <c r="I1551" s="562"/>
      <c r="J1551" s="563"/>
    </row>
    <row r="1552" spans="2:10" ht="12.75">
      <c r="B1552" s="603"/>
      <c r="C1552" s="1186"/>
      <c r="D1552" s="562"/>
      <c r="E1552" s="562"/>
      <c r="F1552" s="562"/>
      <c r="G1552" s="562"/>
      <c r="H1552" s="562"/>
      <c r="I1552" s="562"/>
      <c r="J1552" s="563"/>
    </row>
    <row r="1553" spans="2:10" ht="12.75">
      <c r="B1553" s="603"/>
      <c r="C1553" s="1186"/>
      <c r="D1553" s="562"/>
      <c r="E1553" s="562"/>
      <c r="F1553" s="562"/>
      <c r="G1553" s="562"/>
      <c r="H1553" s="562"/>
      <c r="I1553" s="562"/>
      <c r="J1553" s="563"/>
    </row>
    <row r="1554" spans="2:10" ht="12.75">
      <c r="B1554" s="603"/>
      <c r="C1554" s="1186"/>
      <c r="D1554" s="562"/>
      <c r="E1554" s="562"/>
      <c r="F1554" s="562"/>
      <c r="G1554" s="562"/>
      <c r="H1554" s="562"/>
      <c r="I1554" s="562"/>
      <c r="J1554" s="563"/>
    </row>
    <row r="1555" spans="2:10" ht="12.75">
      <c r="B1555" s="603"/>
      <c r="C1555" s="1186"/>
      <c r="D1555" s="562"/>
      <c r="E1555" s="562"/>
      <c r="F1555" s="562"/>
      <c r="G1555" s="562"/>
      <c r="H1555" s="562"/>
      <c r="I1555" s="562"/>
      <c r="J1555" s="563"/>
    </row>
    <row r="1556" spans="2:10" ht="12.75">
      <c r="B1556" s="603"/>
      <c r="C1556" s="1186"/>
      <c r="D1556" s="562"/>
      <c r="E1556" s="562"/>
      <c r="F1556" s="562"/>
      <c r="G1556" s="562"/>
      <c r="H1556" s="562"/>
      <c r="I1556" s="562"/>
      <c r="J1556" s="563"/>
    </row>
    <row r="1557" spans="2:10" ht="12.75">
      <c r="B1557" s="603"/>
      <c r="C1557" s="1186"/>
      <c r="D1557" s="562"/>
      <c r="E1557" s="562"/>
      <c r="F1557" s="562"/>
      <c r="G1557" s="562"/>
      <c r="H1557" s="562"/>
      <c r="I1557" s="562"/>
      <c r="J1557" s="563"/>
    </row>
    <row r="1558" spans="2:10" ht="12.75">
      <c r="B1558" s="603"/>
      <c r="C1558" s="1186"/>
      <c r="D1558" s="562"/>
      <c r="E1558" s="562"/>
      <c r="F1558" s="562"/>
      <c r="G1558" s="562"/>
      <c r="H1558" s="562"/>
      <c r="I1558" s="562"/>
      <c r="J1558" s="563"/>
    </row>
    <row r="1559" spans="2:10" ht="12.75">
      <c r="B1559" s="603"/>
      <c r="C1559" s="1186"/>
      <c r="D1559" s="562"/>
      <c r="E1559" s="562"/>
      <c r="F1559" s="562"/>
      <c r="G1559" s="562"/>
      <c r="H1559" s="562"/>
      <c r="I1559" s="562"/>
      <c r="J1559" s="563"/>
    </row>
    <row r="1560" spans="2:10" ht="12.75">
      <c r="B1560" s="603"/>
      <c r="C1560" s="1186"/>
      <c r="D1560" s="562"/>
      <c r="E1560" s="562"/>
      <c r="F1560" s="562"/>
      <c r="G1560" s="562"/>
      <c r="H1560" s="562"/>
      <c r="I1560" s="562"/>
      <c r="J1560" s="563"/>
    </row>
    <row r="1561" spans="2:10" ht="12.75">
      <c r="B1561" s="603"/>
      <c r="C1561" s="1186"/>
      <c r="D1561" s="562"/>
      <c r="E1561" s="562"/>
      <c r="F1561" s="562"/>
      <c r="G1561" s="562"/>
      <c r="H1561" s="562"/>
      <c r="I1561" s="562"/>
      <c r="J1561" s="563"/>
    </row>
    <row r="1562" spans="2:10" ht="12.75">
      <c r="B1562" s="603"/>
      <c r="C1562" s="1186"/>
      <c r="D1562" s="562"/>
      <c r="E1562" s="562"/>
      <c r="F1562" s="562"/>
      <c r="G1562" s="562"/>
      <c r="H1562" s="562"/>
      <c r="I1562" s="562"/>
      <c r="J1562" s="563"/>
    </row>
    <row r="1563" spans="2:10" ht="12.75">
      <c r="B1563" s="603"/>
      <c r="C1563" s="1186"/>
      <c r="D1563" s="562"/>
      <c r="E1563" s="562"/>
      <c r="F1563" s="562"/>
      <c r="G1563" s="562"/>
      <c r="H1563" s="562"/>
      <c r="I1563" s="562"/>
      <c r="J1563" s="563"/>
    </row>
    <row r="1564" spans="2:10" ht="12.75">
      <c r="B1564" s="603"/>
      <c r="C1564" s="1186"/>
      <c r="D1564" s="562"/>
      <c r="E1564" s="562"/>
      <c r="F1564" s="562"/>
      <c r="G1564" s="562"/>
      <c r="H1564" s="562"/>
      <c r="I1564" s="562"/>
      <c r="J1564" s="563"/>
    </row>
    <row r="1565" spans="2:10" ht="12.75">
      <c r="B1565" s="603"/>
      <c r="C1565" s="1186"/>
      <c r="D1565" s="562"/>
      <c r="E1565" s="562"/>
      <c r="F1565" s="562"/>
      <c r="G1565" s="562"/>
      <c r="H1565" s="562"/>
      <c r="I1565" s="562"/>
      <c r="J1565" s="563"/>
    </row>
    <row r="1566" spans="2:10" ht="12.75">
      <c r="B1566" s="603"/>
      <c r="C1566" s="1186"/>
      <c r="D1566" s="562"/>
      <c r="E1566" s="562"/>
      <c r="F1566" s="562"/>
      <c r="G1566" s="562"/>
      <c r="H1566" s="562"/>
      <c r="I1566" s="562"/>
      <c r="J1566" s="563"/>
    </row>
    <row r="1567" spans="2:10" ht="12.75">
      <c r="B1567" s="603"/>
      <c r="C1567" s="1186"/>
      <c r="D1567" s="562"/>
      <c r="E1567" s="562"/>
      <c r="F1567" s="562"/>
      <c r="G1567" s="562"/>
      <c r="H1567" s="562"/>
      <c r="I1567" s="562"/>
      <c r="J1567" s="563"/>
    </row>
    <row r="1568" spans="2:10" ht="12.75">
      <c r="B1568" s="603"/>
      <c r="C1568" s="1186"/>
      <c r="D1568" s="562"/>
      <c r="E1568" s="562"/>
      <c r="F1568" s="562"/>
      <c r="G1568" s="562"/>
      <c r="H1568" s="562"/>
      <c r="I1568" s="562"/>
      <c r="J1568" s="563"/>
    </row>
    <row r="1569" spans="2:10" ht="12.75">
      <c r="B1569" s="603"/>
      <c r="C1569" s="1186"/>
      <c r="D1569" s="562"/>
      <c r="E1569" s="562"/>
      <c r="F1569" s="562"/>
      <c r="G1569" s="562"/>
      <c r="H1569" s="562"/>
      <c r="I1569" s="562"/>
      <c r="J1569" s="563"/>
    </row>
    <row r="1570" spans="2:10" ht="12.75">
      <c r="B1570" s="603"/>
      <c r="C1570" s="1186"/>
      <c r="D1570" s="562"/>
      <c r="E1570" s="562"/>
      <c r="F1570" s="562"/>
      <c r="G1570" s="562"/>
      <c r="H1570" s="562"/>
      <c r="I1570" s="562"/>
      <c r="J1570" s="563"/>
    </row>
    <row r="1571" spans="2:10" ht="12.75">
      <c r="B1571" s="603"/>
      <c r="C1571" s="1186"/>
      <c r="D1571" s="562"/>
      <c r="E1571" s="562"/>
      <c r="F1571" s="562"/>
      <c r="G1571" s="562"/>
      <c r="H1571" s="562"/>
      <c r="I1571" s="562"/>
      <c r="J1571" s="563"/>
    </row>
    <row r="1572" spans="2:10" ht="12.75">
      <c r="B1572" s="603"/>
      <c r="C1572" s="1186"/>
      <c r="D1572" s="562"/>
      <c r="E1572" s="562"/>
      <c r="F1572" s="562"/>
      <c r="G1572" s="562"/>
      <c r="H1572" s="562"/>
      <c r="I1572" s="562"/>
      <c r="J1572" s="563"/>
    </row>
    <row r="1573" spans="2:10" ht="12.75">
      <c r="B1573" s="603"/>
      <c r="C1573" s="1186"/>
      <c r="D1573" s="562"/>
      <c r="E1573" s="562"/>
      <c r="F1573" s="562"/>
      <c r="G1573" s="562"/>
      <c r="H1573" s="562"/>
      <c r="I1573" s="562"/>
      <c r="J1573" s="563"/>
    </row>
    <row r="1574" spans="2:10" ht="12.75">
      <c r="B1574" s="603"/>
      <c r="C1574" s="1186"/>
      <c r="D1574" s="562"/>
      <c r="E1574" s="562"/>
      <c r="F1574" s="562"/>
      <c r="G1574" s="562"/>
      <c r="H1574" s="562"/>
      <c r="I1574" s="562"/>
      <c r="J1574" s="563"/>
    </row>
    <row r="1575" spans="2:10" ht="12.75">
      <c r="B1575" s="603"/>
      <c r="C1575" s="1186"/>
      <c r="D1575" s="562"/>
      <c r="E1575" s="562"/>
      <c r="F1575" s="562"/>
      <c r="G1575" s="562"/>
      <c r="H1575" s="562"/>
      <c r="I1575" s="562"/>
      <c r="J1575" s="563"/>
    </row>
    <row r="1576" spans="2:10" ht="12.75">
      <c r="B1576" s="603"/>
      <c r="C1576" s="1186"/>
      <c r="D1576" s="562"/>
      <c r="E1576" s="562"/>
      <c r="F1576" s="562"/>
      <c r="G1576" s="562"/>
      <c r="H1576" s="562"/>
      <c r="I1576" s="562"/>
      <c r="J1576" s="563"/>
    </row>
    <row r="1577" spans="2:10" ht="12.75">
      <c r="B1577" s="603"/>
      <c r="C1577" s="1186"/>
      <c r="D1577" s="562"/>
      <c r="E1577" s="562"/>
      <c r="F1577" s="562"/>
      <c r="G1577" s="562"/>
      <c r="H1577" s="562"/>
      <c r="I1577" s="562"/>
      <c r="J1577" s="563"/>
    </row>
    <row r="1578" spans="2:10" ht="12.75">
      <c r="B1578" s="603"/>
      <c r="C1578" s="1186"/>
      <c r="D1578" s="562"/>
      <c r="E1578" s="562"/>
      <c r="F1578" s="562"/>
      <c r="G1578" s="562"/>
      <c r="H1578" s="562"/>
      <c r="I1578" s="562"/>
      <c r="J1578" s="563"/>
    </row>
    <row r="1579" spans="2:10" ht="12.75">
      <c r="B1579" s="603"/>
      <c r="C1579" s="1186"/>
      <c r="D1579" s="562"/>
      <c r="E1579" s="562"/>
      <c r="F1579" s="562"/>
      <c r="G1579" s="562"/>
      <c r="H1579" s="562"/>
      <c r="I1579" s="562"/>
      <c r="J1579" s="563"/>
    </row>
    <row r="1580" spans="2:10" ht="12.75">
      <c r="B1580" s="603"/>
      <c r="C1580" s="1186"/>
      <c r="D1580" s="562"/>
      <c r="E1580" s="562"/>
      <c r="F1580" s="562"/>
      <c r="G1580" s="562"/>
      <c r="H1580" s="562"/>
      <c r="I1580" s="562"/>
      <c r="J1580" s="563"/>
    </row>
    <row r="1581" spans="2:10" ht="12.75">
      <c r="B1581" s="603"/>
      <c r="C1581" s="1186"/>
      <c r="D1581" s="562"/>
      <c r="E1581" s="562"/>
      <c r="F1581" s="562"/>
      <c r="G1581" s="562"/>
      <c r="H1581" s="562"/>
      <c r="I1581" s="562"/>
      <c r="J1581" s="563"/>
    </row>
    <row r="1582" spans="2:10" ht="12.75">
      <c r="B1582" s="603"/>
      <c r="C1582" s="1186"/>
      <c r="D1582" s="562"/>
      <c r="E1582" s="562"/>
      <c r="F1582" s="562"/>
      <c r="G1582" s="562"/>
      <c r="H1582" s="562"/>
      <c r="I1582" s="562"/>
      <c r="J1582" s="563"/>
    </row>
    <row r="1583" spans="2:10" ht="12.75">
      <c r="B1583" s="603"/>
      <c r="C1583" s="1186"/>
      <c r="D1583" s="562"/>
      <c r="E1583" s="562"/>
      <c r="F1583" s="562"/>
      <c r="G1583" s="562"/>
      <c r="H1583" s="562"/>
      <c r="I1583" s="562"/>
      <c r="J1583" s="563"/>
    </row>
    <row r="1584" spans="2:10" ht="12.75">
      <c r="B1584" s="603"/>
      <c r="C1584" s="1186"/>
      <c r="D1584" s="562"/>
      <c r="E1584" s="562"/>
      <c r="F1584" s="562"/>
      <c r="G1584" s="562"/>
      <c r="H1584" s="562"/>
      <c r="I1584" s="562"/>
      <c r="J1584" s="563"/>
    </row>
    <row r="1585" spans="2:10" ht="12.75">
      <c r="B1585" s="603"/>
      <c r="C1585" s="1186"/>
      <c r="D1585" s="562"/>
      <c r="E1585" s="562"/>
      <c r="F1585" s="562"/>
      <c r="G1585" s="562"/>
      <c r="H1585" s="562"/>
      <c r="I1585" s="562"/>
      <c r="J1585" s="563"/>
    </row>
    <row r="1586" spans="2:10" ht="12.75">
      <c r="B1586" s="603"/>
      <c r="C1586" s="1186"/>
      <c r="D1586" s="562"/>
      <c r="E1586" s="562"/>
      <c r="F1586" s="562"/>
      <c r="G1586" s="562"/>
      <c r="H1586" s="562"/>
      <c r="I1586" s="562"/>
      <c r="J1586" s="563"/>
    </row>
    <row r="1587" spans="2:10" ht="12.75">
      <c r="B1587" s="603"/>
      <c r="C1587" s="1186"/>
      <c r="D1587" s="562"/>
      <c r="E1587" s="562"/>
      <c r="F1587" s="562"/>
      <c r="G1587" s="562"/>
      <c r="H1587" s="562"/>
      <c r="I1587" s="562"/>
      <c r="J1587" s="563"/>
    </row>
    <row r="1588" spans="2:10" ht="12.75">
      <c r="B1588" s="603"/>
      <c r="C1588" s="1186"/>
      <c r="D1588" s="562"/>
      <c r="E1588" s="562"/>
      <c r="F1588" s="562"/>
      <c r="G1588" s="562"/>
      <c r="H1588" s="562"/>
      <c r="I1588" s="562"/>
      <c r="J1588" s="563"/>
    </row>
    <row r="1589" spans="2:10" ht="12.75">
      <c r="B1589" s="603"/>
      <c r="C1589" s="1186"/>
      <c r="D1589" s="562"/>
      <c r="E1589" s="562"/>
      <c r="F1589" s="562"/>
      <c r="G1589" s="562"/>
      <c r="H1589" s="562"/>
      <c r="I1589" s="562"/>
      <c r="J1589" s="563"/>
    </row>
    <row r="1590" spans="2:10" ht="12.75">
      <c r="B1590" s="603"/>
      <c r="C1590" s="1186"/>
      <c r="D1590" s="562"/>
      <c r="E1590" s="562"/>
      <c r="F1590" s="562"/>
      <c r="G1590" s="562"/>
      <c r="H1590" s="562"/>
      <c r="I1590" s="562"/>
      <c r="J1590" s="563"/>
    </row>
    <row r="1591" spans="2:10" ht="12.75">
      <c r="B1591" s="603"/>
      <c r="C1591" s="1186"/>
      <c r="D1591" s="562"/>
      <c r="E1591" s="562"/>
      <c r="F1591" s="562"/>
      <c r="G1591" s="562"/>
      <c r="H1591" s="562"/>
      <c r="I1591" s="562"/>
      <c r="J1591" s="563"/>
    </row>
    <row r="1592" spans="2:10" ht="12.75">
      <c r="B1592" s="603"/>
      <c r="C1592" s="1186"/>
      <c r="D1592" s="562"/>
      <c r="E1592" s="562"/>
      <c r="F1592" s="562"/>
      <c r="G1592" s="562"/>
      <c r="H1592" s="562"/>
      <c r="I1592" s="562"/>
      <c r="J1592" s="563"/>
    </row>
    <row r="1593" spans="2:10" ht="12.75">
      <c r="B1593" s="603"/>
      <c r="C1593" s="1186"/>
      <c r="D1593" s="562"/>
      <c r="E1593" s="562"/>
      <c r="F1593" s="562"/>
      <c r="G1593" s="562"/>
      <c r="H1593" s="562"/>
      <c r="I1593" s="562"/>
      <c r="J1593" s="563"/>
    </row>
    <row r="1594" spans="2:10" ht="12.75">
      <c r="B1594" s="603"/>
      <c r="C1594" s="1186"/>
      <c r="D1594" s="562"/>
      <c r="E1594" s="562"/>
      <c r="F1594" s="562"/>
      <c r="G1594" s="562"/>
      <c r="H1594" s="562"/>
      <c r="I1594" s="562"/>
      <c r="J1594" s="563"/>
    </row>
    <row r="1595" spans="2:10" ht="12.75">
      <c r="B1595" s="603"/>
      <c r="C1595" s="1186"/>
      <c r="D1595" s="562"/>
      <c r="E1595" s="562"/>
      <c r="F1595" s="562"/>
      <c r="G1595" s="562"/>
      <c r="H1595" s="562"/>
      <c r="I1595" s="562"/>
      <c r="J1595" s="563"/>
    </row>
    <row r="1596" spans="2:10" ht="12.75">
      <c r="B1596" s="603"/>
      <c r="C1596" s="1186"/>
      <c r="D1596" s="562"/>
      <c r="E1596" s="562"/>
      <c r="F1596" s="562"/>
      <c r="G1596" s="562"/>
      <c r="H1596" s="562"/>
      <c r="I1596" s="562"/>
      <c r="J1596" s="563"/>
    </row>
    <row r="1597" spans="2:10" ht="12.75">
      <c r="B1597" s="603"/>
      <c r="C1597" s="1186"/>
      <c r="D1597" s="562"/>
      <c r="E1597" s="562"/>
      <c r="F1597" s="562"/>
      <c r="G1597" s="562"/>
      <c r="H1597" s="562"/>
      <c r="I1597" s="562"/>
      <c r="J1597" s="563"/>
    </row>
    <row r="1598" spans="2:10" ht="12.75">
      <c r="B1598" s="603"/>
      <c r="C1598" s="1186"/>
      <c r="D1598" s="562"/>
      <c r="E1598" s="562"/>
      <c r="F1598" s="562"/>
      <c r="G1598" s="562"/>
      <c r="H1598" s="562"/>
      <c r="I1598" s="562"/>
      <c r="J1598" s="563"/>
    </row>
    <row r="1599" spans="2:10" ht="12.75">
      <c r="B1599" s="603"/>
      <c r="C1599" s="1186"/>
      <c r="D1599" s="562"/>
      <c r="E1599" s="562"/>
      <c r="F1599" s="562"/>
      <c r="G1599" s="562"/>
      <c r="H1599" s="562"/>
      <c r="I1599" s="562"/>
      <c r="J1599" s="563"/>
    </row>
    <row r="1600" spans="2:10" ht="12.75">
      <c r="B1600" s="603"/>
      <c r="C1600" s="1186"/>
      <c r="D1600" s="562"/>
      <c r="E1600" s="562"/>
      <c r="F1600" s="562"/>
      <c r="G1600" s="562"/>
      <c r="H1600" s="562"/>
      <c r="I1600" s="562"/>
      <c r="J1600" s="563"/>
    </row>
    <row r="1601" spans="2:10" ht="12.75">
      <c r="B1601" s="603"/>
      <c r="C1601" s="1186"/>
      <c r="D1601" s="562"/>
      <c r="E1601" s="562"/>
      <c r="F1601" s="562"/>
      <c r="G1601" s="562"/>
      <c r="H1601" s="562"/>
      <c r="I1601" s="562"/>
      <c r="J1601" s="563"/>
    </row>
    <row r="1602" spans="2:10" ht="12.75">
      <c r="B1602" s="603"/>
      <c r="C1602" s="1186"/>
      <c r="D1602" s="562"/>
      <c r="E1602" s="562"/>
      <c r="F1602" s="562"/>
      <c r="G1602" s="562"/>
      <c r="H1602" s="562"/>
      <c r="I1602" s="562"/>
      <c r="J1602" s="563"/>
    </row>
    <row r="1603" spans="2:10" ht="12.75">
      <c r="B1603" s="603"/>
      <c r="C1603" s="1186"/>
      <c r="D1603" s="562"/>
      <c r="E1603" s="562"/>
      <c r="F1603" s="562"/>
      <c r="G1603" s="562"/>
      <c r="H1603" s="562"/>
      <c r="I1603" s="562"/>
      <c r="J1603" s="563"/>
    </row>
    <row r="1604" spans="2:10" ht="12.75">
      <c r="B1604" s="603"/>
      <c r="C1604" s="1186"/>
      <c r="D1604" s="562"/>
      <c r="E1604" s="562"/>
      <c r="F1604" s="562"/>
      <c r="G1604" s="562"/>
      <c r="H1604" s="562"/>
      <c r="I1604" s="562"/>
      <c r="J1604" s="563"/>
    </row>
    <row r="1605" spans="2:10" ht="12.75">
      <c r="B1605" s="603"/>
      <c r="C1605" s="1186"/>
      <c r="D1605" s="562"/>
      <c r="E1605" s="562"/>
      <c r="F1605" s="562"/>
      <c r="G1605" s="562"/>
      <c r="H1605" s="562"/>
      <c r="I1605" s="562"/>
      <c r="J1605" s="563"/>
    </row>
    <row r="1606" spans="2:10" ht="12.75">
      <c r="B1606" s="603"/>
      <c r="C1606" s="1186"/>
      <c r="D1606" s="562"/>
      <c r="E1606" s="562"/>
      <c r="F1606" s="562"/>
      <c r="G1606" s="562"/>
      <c r="H1606" s="562"/>
      <c r="I1606" s="562"/>
      <c r="J1606" s="563"/>
    </row>
    <row r="1607" spans="2:10" ht="12.75">
      <c r="B1607" s="603"/>
      <c r="C1607" s="1186"/>
      <c r="D1607" s="562"/>
      <c r="E1607" s="562"/>
      <c r="F1607" s="562"/>
      <c r="G1607" s="562"/>
      <c r="H1607" s="562"/>
      <c r="I1607" s="562"/>
      <c r="J1607" s="563"/>
    </row>
    <row r="1608" spans="2:10" ht="12.75">
      <c r="B1608" s="603"/>
      <c r="C1608" s="1186"/>
      <c r="D1608" s="562"/>
      <c r="E1608" s="562"/>
      <c r="F1608" s="562"/>
      <c r="G1608" s="562"/>
      <c r="H1608" s="562"/>
      <c r="I1608" s="562"/>
      <c r="J1608" s="563"/>
    </row>
    <row r="1609" spans="2:10" ht="12.75">
      <c r="B1609" s="603"/>
      <c r="C1609" s="1186"/>
      <c r="D1609" s="562"/>
      <c r="E1609" s="562"/>
      <c r="F1609" s="562"/>
      <c r="G1609" s="562"/>
      <c r="H1609" s="562"/>
      <c r="I1609" s="562"/>
      <c r="J1609" s="563"/>
    </row>
    <row r="1610" spans="2:10" ht="12.75">
      <c r="B1610" s="603"/>
      <c r="C1610" s="1186"/>
      <c r="D1610" s="562"/>
      <c r="E1610" s="562"/>
      <c r="F1610" s="562"/>
      <c r="G1610" s="562"/>
      <c r="H1610" s="562"/>
      <c r="I1610" s="562"/>
      <c r="J1610" s="563"/>
    </row>
    <row r="1611" spans="2:10" ht="12.75">
      <c r="B1611" s="603"/>
      <c r="C1611" s="1186"/>
      <c r="D1611" s="562"/>
      <c r="E1611" s="562"/>
      <c r="F1611" s="562"/>
      <c r="G1611" s="562"/>
      <c r="H1611" s="562"/>
      <c r="I1611" s="562"/>
      <c r="J1611" s="563"/>
    </row>
    <row r="1612" spans="2:10" ht="12.75">
      <c r="B1612" s="603"/>
      <c r="C1612" s="1186"/>
      <c r="D1612" s="562"/>
      <c r="E1612" s="562"/>
      <c r="F1612" s="562"/>
      <c r="G1612" s="562"/>
      <c r="H1612" s="562"/>
      <c r="I1612" s="562"/>
      <c r="J1612" s="563"/>
    </row>
    <row r="1613" spans="2:10" ht="12.75">
      <c r="B1613" s="603"/>
      <c r="C1613" s="1186"/>
      <c r="D1613" s="562"/>
      <c r="E1613" s="562"/>
      <c r="F1613" s="562"/>
      <c r="G1613" s="562"/>
      <c r="H1613" s="562"/>
      <c r="I1613" s="562"/>
      <c r="J1613" s="563"/>
    </row>
    <row r="1614" spans="2:10" ht="12.75">
      <c r="B1614" s="603"/>
      <c r="C1614" s="1186"/>
      <c r="D1614" s="562"/>
      <c r="E1614" s="562"/>
      <c r="F1614" s="562"/>
      <c r="G1614" s="562"/>
      <c r="H1614" s="562"/>
      <c r="I1614" s="562"/>
      <c r="J1614" s="563"/>
    </row>
    <row r="1615" spans="2:10" ht="12.75">
      <c r="B1615" s="603"/>
      <c r="C1615" s="1186"/>
      <c r="D1615" s="562"/>
      <c r="E1615" s="562"/>
      <c r="F1615" s="562"/>
      <c r="G1615" s="562"/>
      <c r="H1615" s="562"/>
      <c r="I1615" s="562"/>
      <c r="J1615" s="563"/>
    </row>
    <row r="1616" spans="2:10" ht="12.75">
      <c r="B1616" s="603"/>
      <c r="C1616" s="1186"/>
      <c r="D1616" s="562"/>
      <c r="E1616" s="562"/>
      <c r="F1616" s="562"/>
      <c r="G1616" s="562"/>
      <c r="H1616" s="562"/>
      <c r="I1616" s="562"/>
      <c r="J1616" s="563"/>
    </row>
    <row r="1617" spans="2:10" ht="12.75">
      <c r="B1617" s="603"/>
      <c r="C1617" s="1186"/>
      <c r="D1617" s="562"/>
      <c r="E1617" s="562"/>
      <c r="F1617" s="562"/>
      <c r="G1617" s="562"/>
      <c r="H1617" s="562"/>
      <c r="I1617" s="562"/>
      <c r="J1617" s="563"/>
    </row>
    <row r="1618" spans="2:10" ht="12.75">
      <c r="B1618" s="603"/>
      <c r="C1618" s="1186"/>
      <c r="D1618" s="562"/>
      <c r="E1618" s="562"/>
      <c r="F1618" s="562"/>
      <c r="G1618" s="562"/>
      <c r="H1618" s="562"/>
      <c r="I1618" s="562"/>
      <c r="J1618" s="563"/>
    </row>
    <row r="1619" spans="2:10" ht="12.75">
      <c r="B1619" s="603"/>
      <c r="C1619" s="1186"/>
      <c r="D1619" s="562"/>
      <c r="E1619" s="562"/>
      <c r="F1619" s="562"/>
      <c r="G1619" s="562"/>
      <c r="H1619" s="562"/>
      <c r="I1619" s="562"/>
      <c r="J1619" s="563"/>
    </row>
    <row r="1620" spans="2:10" ht="12.75">
      <c r="B1620" s="603"/>
      <c r="C1620" s="1186"/>
      <c r="D1620" s="562"/>
      <c r="E1620" s="562"/>
      <c r="F1620" s="562"/>
      <c r="G1620" s="562"/>
      <c r="H1620" s="562"/>
      <c r="I1620" s="562"/>
      <c r="J1620" s="563"/>
    </row>
    <row r="1621" spans="2:10" ht="12.75">
      <c r="B1621" s="603"/>
      <c r="C1621" s="1186"/>
      <c r="D1621" s="562"/>
      <c r="E1621" s="562"/>
      <c r="F1621" s="562"/>
      <c r="G1621" s="562"/>
      <c r="H1621" s="562"/>
      <c r="I1621" s="562"/>
      <c r="J1621" s="563"/>
    </row>
    <row r="1622" spans="2:10" ht="12.75">
      <c r="B1622" s="603"/>
      <c r="C1622" s="1186"/>
      <c r="D1622" s="562"/>
      <c r="E1622" s="562"/>
      <c r="F1622" s="562"/>
      <c r="G1622" s="562"/>
      <c r="H1622" s="562"/>
      <c r="I1622" s="562"/>
      <c r="J1622" s="563"/>
    </row>
    <row r="1623" spans="2:10" ht="12.75">
      <c r="B1623" s="603"/>
      <c r="C1623" s="1186"/>
      <c r="D1623" s="562"/>
      <c r="E1623" s="562"/>
      <c r="F1623" s="562"/>
      <c r="G1623" s="562"/>
      <c r="H1623" s="562"/>
      <c r="I1623" s="562"/>
      <c r="J1623" s="563"/>
    </row>
    <row r="1624" spans="2:10" ht="12.75">
      <c r="B1624" s="603"/>
      <c r="C1624" s="1186"/>
      <c r="D1624" s="562"/>
      <c r="E1624" s="562"/>
      <c r="F1624" s="562"/>
      <c r="G1624" s="562"/>
      <c r="H1624" s="562"/>
      <c r="I1624" s="562"/>
      <c r="J1624" s="563"/>
    </row>
    <row r="1625" spans="2:10" ht="12.75">
      <c r="B1625" s="603"/>
      <c r="C1625" s="1186"/>
      <c r="D1625" s="562"/>
      <c r="E1625" s="562"/>
      <c r="F1625" s="562"/>
      <c r="G1625" s="562"/>
      <c r="H1625" s="562"/>
      <c r="I1625" s="562"/>
      <c r="J1625" s="563"/>
    </row>
    <row r="1626" spans="2:10" ht="12.75">
      <c r="B1626" s="603"/>
      <c r="C1626" s="1186"/>
      <c r="D1626" s="562"/>
      <c r="E1626" s="562"/>
      <c r="F1626" s="562"/>
      <c r="G1626" s="562"/>
      <c r="H1626" s="562"/>
      <c r="I1626" s="562"/>
      <c r="J1626" s="563"/>
    </row>
    <row r="1627" spans="2:10" ht="12.75">
      <c r="B1627" s="603"/>
      <c r="C1627" s="1186"/>
      <c r="D1627" s="562"/>
      <c r="E1627" s="562"/>
      <c r="F1627" s="562"/>
      <c r="G1627" s="562"/>
      <c r="H1627" s="562"/>
      <c r="I1627" s="562"/>
      <c r="J1627" s="563"/>
    </row>
    <row r="1628" spans="2:10" ht="12.75">
      <c r="B1628" s="603"/>
      <c r="C1628" s="1186"/>
      <c r="D1628" s="562"/>
      <c r="E1628" s="562"/>
      <c r="F1628" s="562"/>
      <c r="G1628" s="562"/>
      <c r="H1628" s="562"/>
      <c r="I1628" s="562"/>
      <c r="J1628" s="563"/>
    </row>
    <row r="1629" spans="2:10" ht="12.75">
      <c r="B1629" s="603"/>
      <c r="C1629" s="1186"/>
      <c r="D1629" s="562"/>
      <c r="E1629" s="562"/>
      <c r="F1629" s="562"/>
      <c r="G1629" s="562"/>
      <c r="H1629" s="562"/>
      <c r="I1629" s="562"/>
      <c r="J1629" s="563"/>
    </row>
    <row r="1630" spans="2:10" ht="12.75">
      <c r="B1630" s="603"/>
      <c r="C1630" s="1186"/>
      <c r="D1630" s="562"/>
      <c r="E1630" s="562"/>
      <c r="F1630" s="562"/>
      <c r="G1630" s="562"/>
      <c r="H1630" s="562"/>
      <c r="I1630" s="562"/>
      <c r="J1630" s="563"/>
    </row>
    <row r="1631" spans="2:10" ht="12.75">
      <c r="B1631" s="603"/>
      <c r="C1631" s="1186"/>
      <c r="D1631" s="562"/>
      <c r="E1631" s="562"/>
      <c r="F1631" s="562"/>
      <c r="G1631" s="562"/>
      <c r="H1631" s="562"/>
      <c r="I1631" s="562"/>
      <c r="J1631" s="563"/>
    </row>
    <row r="1632" spans="2:10" ht="12.75">
      <c r="B1632" s="603"/>
      <c r="C1632" s="1186"/>
      <c r="D1632" s="562"/>
      <c r="E1632" s="562"/>
      <c r="F1632" s="562"/>
      <c r="G1632" s="562"/>
      <c r="H1632" s="562"/>
      <c r="I1632" s="562"/>
      <c r="J1632" s="563"/>
    </row>
    <row r="1633" spans="2:10" ht="12.75">
      <c r="B1633" s="603"/>
      <c r="C1633" s="1186"/>
      <c r="D1633" s="562"/>
      <c r="E1633" s="562"/>
      <c r="F1633" s="562"/>
      <c r="G1633" s="562"/>
      <c r="H1633" s="562"/>
      <c r="I1633" s="562"/>
      <c r="J1633" s="563"/>
    </row>
    <row r="1634" spans="2:10" ht="12.75">
      <c r="B1634" s="603"/>
      <c r="C1634" s="1186"/>
      <c r="D1634" s="562"/>
      <c r="E1634" s="562"/>
      <c r="F1634" s="562"/>
      <c r="G1634" s="562"/>
      <c r="H1634" s="562"/>
      <c r="I1634" s="562"/>
      <c r="J1634" s="563"/>
    </row>
    <row r="1635" spans="2:10" ht="12.75">
      <c r="B1635" s="603"/>
      <c r="C1635" s="1186"/>
      <c r="D1635" s="562"/>
      <c r="E1635" s="562"/>
      <c r="F1635" s="562"/>
      <c r="G1635" s="562"/>
      <c r="H1635" s="562"/>
      <c r="I1635" s="562"/>
      <c r="J1635" s="563"/>
    </row>
    <row r="1636" spans="2:10" ht="12.75">
      <c r="B1636" s="603"/>
      <c r="C1636" s="1186"/>
      <c r="D1636" s="562"/>
      <c r="E1636" s="562"/>
      <c r="F1636" s="562"/>
      <c r="G1636" s="562"/>
      <c r="H1636" s="562"/>
      <c r="I1636" s="562"/>
      <c r="J1636" s="563"/>
    </row>
    <row r="1637" spans="2:10" ht="12.75">
      <c r="B1637" s="603"/>
      <c r="C1637" s="1186"/>
      <c r="D1637" s="562"/>
      <c r="E1637" s="562"/>
      <c r="F1637" s="562"/>
      <c r="G1637" s="562"/>
      <c r="H1637" s="562"/>
      <c r="I1637" s="562"/>
      <c r="J1637" s="563"/>
    </row>
    <row r="1638" spans="2:10" ht="12.75">
      <c r="B1638" s="603"/>
      <c r="C1638" s="1186"/>
      <c r="D1638" s="562"/>
      <c r="E1638" s="562"/>
      <c r="F1638" s="562"/>
      <c r="G1638" s="562"/>
      <c r="H1638" s="562"/>
      <c r="I1638" s="562"/>
      <c r="J1638" s="563"/>
    </row>
    <row r="1639" spans="2:10" ht="12.75">
      <c r="B1639" s="603"/>
      <c r="C1639" s="1186"/>
      <c r="D1639" s="562"/>
      <c r="E1639" s="562"/>
      <c r="F1639" s="562"/>
      <c r="G1639" s="562"/>
      <c r="H1639" s="562"/>
      <c r="I1639" s="562"/>
      <c r="J1639" s="563"/>
    </row>
    <row r="1640" spans="2:10" ht="12.75">
      <c r="B1640" s="603"/>
      <c r="C1640" s="1186"/>
      <c r="D1640" s="562"/>
      <c r="E1640" s="562"/>
      <c r="F1640" s="562"/>
      <c r="G1640" s="562"/>
      <c r="H1640" s="562"/>
      <c r="I1640" s="562"/>
      <c r="J1640" s="563"/>
    </row>
    <row r="1641" spans="2:10" ht="12.75">
      <c r="B1641" s="603"/>
      <c r="C1641" s="1186"/>
      <c r="D1641" s="562"/>
      <c r="E1641" s="562"/>
      <c r="F1641" s="562"/>
      <c r="G1641" s="562"/>
      <c r="H1641" s="562"/>
      <c r="I1641" s="562"/>
      <c r="J1641" s="563"/>
    </row>
    <row r="1642" spans="2:10" ht="12.75">
      <c r="B1642" s="603"/>
      <c r="C1642" s="1186"/>
      <c r="D1642" s="562"/>
      <c r="E1642" s="562"/>
      <c r="F1642" s="562"/>
      <c r="G1642" s="562"/>
      <c r="H1642" s="562"/>
      <c r="I1642" s="562"/>
      <c r="J1642" s="563"/>
    </row>
    <row r="1643" spans="2:10" ht="12.75">
      <c r="B1643" s="603"/>
      <c r="C1643" s="1186"/>
      <c r="D1643" s="562"/>
      <c r="E1643" s="562"/>
      <c r="F1643" s="562"/>
      <c r="G1643" s="562"/>
      <c r="H1643" s="562"/>
      <c r="I1643" s="562"/>
      <c r="J1643" s="563"/>
    </row>
    <row r="1644" spans="2:10" ht="12.75">
      <c r="B1644" s="603"/>
      <c r="C1644" s="1186"/>
      <c r="D1644" s="562"/>
      <c r="E1644" s="562"/>
      <c r="F1644" s="562"/>
      <c r="G1644" s="562"/>
      <c r="H1644" s="562"/>
      <c r="I1644" s="562"/>
      <c r="J1644" s="563"/>
    </row>
    <row r="1645" spans="2:10" ht="12.75">
      <c r="B1645" s="603"/>
      <c r="C1645" s="1186"/>
      <c r="D1645" s="562"/>
      <c r="E1645" s="562"/>
      <c r="F1645" s="562"/>
      <c r="G1645" s="562"/>
      <c r="H1645" s="562"/>
      <c r="I1645" s="562"/>
      <c r="J1645" s="563"/>
    </row>
    <row r="1646" spans="2:10" ht="12.75">
      <c r="B1646" s="603"/>
      <c r="C1646" s="1186"/>
      <c r="D1646" s="562"/>
      <c r="E1646" s="562"/>
      <c r="F1646" s="562"/>
      <c r="G1646" s="562"/>
      <c r="H1646" s="562"/>
      <c r="I1646" s="562"/>
      <c r="J1646" s="563"/>
    </row>
    <row r="1647" spans="2:10" ht="12.75">
      <c r="B1647" s="603"/>
      <c r="C1647" s="1186"/>
      <c r="D1647" s="562"/>
      <c r="E1647" s="562"/>
      <c r="F1647" s="562"/>
      <c r="G1647" s="562"/>
      <c r="H1647" s="562"/>
      <c r="I1647" s="562"/>
      <c r="J1647" s="563"/>
    </row>
    <row r="1648" spans="2:10" ht="12.75">
      <c r="B1648" s="603"/>
      <c r="C1648" s="1186"/>
      <c r="D1648" s="562"/>
      <c r="E1648" s="562"/>
      <c r="F1648" s="562"/>
      <c r="G1648" s="562"/>
      <c r="H1648" s="562"/>
      <c r="I1648" s="562"/>
      <c r="J1648" s="563"/>
    </row>
    <row r="1649" spans="2:10" ht="12.75">
      <c r="B1649" s="603"/>
      <c r="C1649" s="1186"/>
      <c r="D1649" s="562"/>
      <c r="E1649" s="562"/>
      <c r="F1649" s="562"/>
      <c r="G1649" s="562"/>
      <c r="H1649" s="562"/>
      <c r="I1649" s="562"/>
      <c r="J1649" s="563"/>
    </row>
    <row r="1650" spans="2:10" ht="12.75">
      <c r="B1650" s="603"/>
      <c r="C1650" s="1186"/>
      <c r="D1650" s="562"/>
      <c r="E1650" s="562"/>
      <c r="F1650" s="562"/>
      <c r="G1650" s="562"/>
      <c r="H1650" s="562"/>
      <c r="I1650" s="562"/>
      <c r="J1650" s="563"/>
    </row>
    <row r="1651" spans="2:10" ht="12.75">
      <c r="B1651" s="603"/>
      <c r="C1651" s="1186"/>
      <c r="D1651" s="562"/>
      <c r="E1651" s="562"/>
      <c r="F1651" s="562"/>
      <c r="G1651" s="562"/>
      <c r="H1651" s="562"/>
      <c r="I1651" s="562"/>
      <c r="J1651" s="563"/>
    </row>
    <row r="1652" spans="2:10" ht="12.75">
      <c r="B1652" s="603"/>
      <c r="C1652" s="1186"/>
      <c r="D1652" s="562"/>
      <c r="E1652" s="562"/>
      <c r="F1652" s="562"/>
      <c r="G1652" s="562"/>
      <c r="H1652" s="562"/>
      <c r="I1652" s="562"/>
      <c r="J1652" s="563"/>
    </row>
    <row r="1653" spans="2:10" ht="12.75">
      <c r="B1653" s="603"/>
      <c r="C1653" s="1186"/>
      <c r="D1653" s="562"/>
      <c r="E1653" s="562"/>
      <c r="F1653" s="562"/>
      <c r="G1653" s="562"/>
      <c r="H1653" s="562"/>
      <c r="I1653" s="562"/>
      <c r="J1653" s="563"/>
    </row>
    <row r="1654" spans="2:10" ht="12.75">
      <c r="B1654" s="603"/>
      <c r="C1654" s="1186"/>
      <c r="D1654" s="562"/>
      <c r="E1654" s="562"/>
      <c r="F1654" s="562"/>
      <c r="G1654" s="562"/>
      <c r="H1654" s="562"/>
      <c r="I1654" s="562"/>
      <c r="J1654" s="563"/>
    </row>
    <row r="1655" spans="2:10" ht="12.75">
      <c r="B1655" s="603"/>
      <c r="C1655" s="1186"/>
      <c r="D1655" s="562"/>
      <c r="E1655" s="562"/>
      <c r="F1655" s="562"/>
      <c r="G1655" s="562"/>
      <c r="H1655" s="562"/>
      <c r="I1655" s="562"/>
      <c r="J1655" s="563"/>
    </row>
    <row r="1656" spans="2:10" ht="12.75">
      <c r="B1656" s="603"/>
      <c r="C1656" s="1186"/>
      <c r="D1656" s="562"/>
      <c r="E1656" s="562"/>
      <c r="F1656" s="562"/>
      <c r="G1656" s="562"/>
      <c r="H1656" s="562"/>
      <c r="I1656" s="562"/>
      <c r="J1656" s="563"/>
    </row>
    <row r="1657" spans="2:10" ht="12.75">
      <c r="B1657" s="603"/>
      <c r="C1657" s="1186"/>
      <c r="D1657" s="562"/>
      <c r="E1657" s="562"/>
      <c r="F1657" s="562"/>
      <c r="G1657" s="562"/>
      <c r="H1657" s="562"/>
      <c r="I1657" s="562"/>
      <c r="J1657" s="563"/>
    </row>
    <row r="1658" spans="2:10" ht="12.75">
      <c r="B1658" s="603"/>
      <c r="C1658" s="1186"/>
      <c r="D1658" s="562"/>
      <c r="E1658" s="562"/>
      <c r="F1658" s="562"/>
      <c r="G1658" s="562"/>
      <c r="H1658" s="562"/>
      <c r="I1658" s="562"/>
      <c r="J1658" s="563"/>
    </row>
    <row r="1659" spans="2:10" ht="12.75">
      <c r="B1659" s="603"/>
      <c r="C1659" s="1186"/>
      <c r="D1659" s="562"/>
      <c r="E1659" s="562"/>
      <c r="F1659" s="562"/>
      <c r="G1659" s="562"/>
      <c r="H1659" s="562"/>
      <c r="I1659" s="562"/>
      <c r="J1659" s="563"/>
    </row>
    <row r="1660" spans="2:10" ht="12.75">
      <c r="B1660" s="603"/>
      <c r="C1660" s="1186"/>
      <c r="D1660" s="562"/>
      <c r="E1660" s="562"/>
      <c r="F1660" s="562"/>
      <c r="G1660" s="562"/>
      <c r="H1660" s="562"/>
      <c r="I1660" s="562"/>
      <c r="J1660" s="563"/>
    </row>
    <row r="1661" spans="2:10" ht="12.75">
      <c r="B1661" s="603"/>
      <c r="C1661" s="1186"/>
      <c r="D1661" s="562"/>
      <c r="E1661" s="562"/>
      <c r="F1661" s="562"/>
      <c r="G1661" s="562"/>
      <c r="H1661" s="562"/>
      <c r="I1661" s="562"/>
      <c r="J1661" s="563"/>
    </row>
    <row r="1662" spans="2:10" ht="12.75">
      <c r="B1662" s="603"/>
      <c r="C1662" s="1186"/>
      <c r="D1662" s="562"/>
      <c r="E1662" s="562"/>
      <c r="F1662" s="562"/>
      <c r="G1662" s="562"/>
      <c r="H1662" s="562"/>
      <c r="I1662" s="562"/>
      <c r="J1662" s="563"/>
    </row>
    <row r="1663" spans="2:10" ht="12.75">
      <c r="B1663" s="603"/>
      <c r="C1663" s="1186"/>
      <c r="D1663" s="562"/>
      <c r="E1663" s="562"/>
      <c r="F1663" s="562"/>
      <c r="G1663" s="562"/>
      <c r="H1663" s="562"/>
      <c r="I1663" s="562"/>
      <c r="J1663" s="563"/>
    </row>
    <row r="1664" spans="2:10" ht="12.75">
      <c r="B1664" s="603"/>
      <c r="C1664" s="1186"/>
      <c r="D1664" s="562"/>
      <c r="E1664" s="562"/>
      <c r="F1664" s="562"/>
      <c r="G1664" s="562"/>
      <c r="H1664" s="562"/>
      <c r="I1664" s="562"/>
      <c r="J1664" s="563"/>
    </row>
    <row r="1665" spans="2:10" ht="12.75">
      <c r="B1665" s="603"/>
      <c r="C1665" s="1186"/>
      <c r="D1665" s="562"/>
      <c r="E1665" s="562"/>
      <c r="F1665" s="562"/>
      <c r="G1665" s="562"/>
      <c r="H1665" s="562"/>
      <c r="I1665" s="562"/>
      <c r="J1665" s="563"/>
    </row>
    <row r="1666" spans="2:10" ht="12.75">
      <c r="B1666" s="603"/>
      <c r="C1666" s="1186"/>
      <c r="D1666" s="562"/>
      <c r="E1666" s="562"/>
      <c r="F1666" s="562"/>
      <c r="G1666" s="562"/>
      <c r="H1666" s="562"/>
      <c r="I1666" s="562"/>
      <c r="J1666" s="563"/>
    </row>
    <row r="1667" spans="2:10" ht="12.75">
      <c r="B1667" s="603"/>
      <c r="C1667" s="1186"/>
      <c r="D1667" s="562"/>
      <c r="E1667" s="562"/>
      <c r="F1667" s="562"/>
      <c r="G1667" s="562"/>
      <c r="H1667" s="562"/>
      <c r="I1667" s="562"/>
      <c r="J1667" s="563"/>
    </row>
    <row r="1668" spans="2:10" ht="12.75">
      <c r="B1668" s="603"/>
      <c r="C1668" s="1186"/>
      <c r="D1668" s="562"/>
      <c r="E1668" s="562"/>
      <c r="F1668" s="562"/>
      <c r="G1668" s="562"/>
      <c r="H1668" s="562"/>
      <c r="I1668" s="562"/>
      <c r="J1668" s="563"/>
    </row>
    <row r="1669" spans="2:10" ht="12.75">
      <c r="B1669" s="603"/>
      <c r="C1669" s="1186"/>
      <c r="D1669" s="562"/>
      <c r="E1669" s="562"/>
      <c r="F1669" s="562"/>
      <c r="G1669" s="562"/>
      <c r="H1669" s="562"/>
      <c r="I1669" s="562"/>
      <c r="J1669" s="563"/>
    </row>
    <row r="1670" spans="2:10" ht="12.75">
      <c r="B1670" s="603"/>
      <c r="C1670" s="1186"/>
      <c r="D1670" s="562"/>
      <c r="E1670" s="562"/>
      <c r="F1670" s="562"/>
      <c r="G1670" s="562"/>
      <c r="H1670" s="562"/>
      <c r="I1670" s="562"/>
      <c r="J1670" s="563"/>
    </row>
    <row r="1671" spans="2:10" ht="12.75">
      <c r="B1671" s="603"/>
      <c r="C1671" s="1186"/>
      <c r="D1671" s="562"/>
      <c r="E1671" s="562"/>
      <c r="F1671" s="562"/>
      <c r="G1671" s="562"/>
      <c r="H1671" s="562"/>
      <c r="I1671" s="562"/>
      <c r="J1671" s="563"/>
    </row>
    <row r="1672" spans="2:10" ht="12.75">
      <c r="B1672" s="603"/>
      <c r="C1672" s="1186"/>
      <c r="D1672" s="562"/>
      <c r="E1672" s="562"/>
      <c r="F1672" s="562"/>
      <c r="G1672" s="562"/>
      <c r="H1672" s="562"/>
      <c r="I1672" s="562"/>
      <c r="J1672" s="563"/>
    </row>
    <row r="1673" spans="2:10" ht="12.75">
      <c r="B1673" s="603"/>
      <c r="C1673" s="1186"/>
      <c r="D1673" s="562"/>
      <c r="E1673" s="562"/>
      <c r="F1673" s="562"/>
      <c r="G1673" s="562"/>
      <c r="H1673" s="562"/>
      <c r="I1673" s="562"/>
      <c r="J1673" s="563"/>
    </row>
    <row r="1674" spans="2:10" ht="12.75">
      <c r="B1674" s="603"/>
      <c r="C1674" s="1186"/>
      <c r="D1674" s="562"/>
      <c r="E1674" s="562"/>
      <c r="F1674" s="562"/>
      <c r="G1674" s="562"/>
      <c r="H1674" s="562"/>
      <c r="I1674" s="562"/>
      <c r="J1674" s="563"/>
    </row>
    <row r="1675" spans="2:10" ht="12.75">
      <c r="B1675" s="603"/>
      <c r="C1675" s="1186"/>
      <c r="D1675" s="562"/>
      <c r="E1675" s="562"/>
      <c r="F1675" s="562"/>
      <c r="G1675" s="562"/>
      <c r="H1675" s="562"/>
      <c r="I1675" s="562"/>
      <c r="J1675" s="563"/>
    </row>
    <row r="1676" spans="2:10" ht="12.75">
      <c r="B1676" s="603"/>
      <c r="C1676" s="1186"/>
      <c r="D1676" s="562"/>
      <c r="E1676" s="562"/>
      <c r="F1676" s="562"/>
      <c r="G1676" s="562"/>
      <c r="H1676" s="562"/>
      <c r="I1676" s="562"/>
      <c r="J1676" s="563"/>
    </row>
    <row r="1677" spans="2:10" ht="12.75">
      <c r="B1677" s="603"/>
      <c r="C1677" s="1186"/>
      <c r="D1677" s="562"/>
      <c r="E1677" s="562"/>
      <c r="F1677" s="562"/>
      <c r="G1677" s="562"/>
      <c r="H1677" s="562"/>
      <c r="I1677" s="562"/>
      <c r="J1677" s="563"/>
    </row>
    <row r="1678" spans="2:10" ht="12.75">
      <c r="B1678" s="603"/>
      <c r="C1678" s="1186"/>
      <c r="D1678" s="562"/>
      <c r="E1678" s="562"/>
      <c r="F1678" s="562"/>
      <c r="G1678" s="562"/>
      <c r="H1678" s="562"/>
      <c r="I1678" s="562"/>
      <c r="J1678" s="563"/>
    </row>
    <row r="1679" spans="2:10" ht="12.75">
      <c r="B1679" s="603"/>
      <c r="C1679" s="1186"/>
      <c r="D1679" s="562"/>
      <c r="E1679" s="562"/>
      <c r="F1679" s="562"/>
      <c r="G1679" s="562"/>
      <c r="H1679" s="562"/>
      <c r="I1679" s="562"/>
      <c r="J1679" s="563"/>
    </row>
    <row r="1680" spans="2:10" ht="12.75">
      <c r="B1680" s="603"/>
      <c r="C1680" s="1186"/>
      <c r="D1680" s="562"/>
      <c r="E1680" s="562"/>
      <c r="F1680" s="562"/>
      <c r="G1680" s="562"/>
      <c r="H1680" s="562"/>
      <c r="I1680" s="562"/>
      <c r="J1680" s="563"/>
    </row>
    <row r="1681" spans="2:10" ht="12.75">
      <c r="B1681" s="603"/>
      <c r="C1681" s="1186"/>
      <c r="D1681" s="562"/>
      <c r="E1681" s="562"/>
      <c r="F1681" s="562"/>
      <c r="G1681" s="562"/>
      <c r="H1681" s="562"/>
      <c r="I1681" s="562"/>
      <c r="J1681" s="563"/>
    </row>
    <row r="1682" spans="2:10" ht="12.75">
      <c r="B1682" s="603"/>
      <c r="C1682" s="1186"/>
      <c r="D1682" s="562"/>
      <c r="E1682" s="562"/>
      <c r="F1682" s="562"/>
      <c r="G1682" s="562"/>
      <c r="H1682" s="562"/>
      <c r="I1682" s="562"/>
      <c r="J1682" s="563"/>
    </row>
    <row r="1683" spans="2:10" ht="12.75">
      <c r="B1683" s="603"/>
      <c r="C1683" s="1186"/>
      <c r="D1683" s="562"/>
      <c r="E1683" s="562"/>
      <c r="F1683" s="562"/>
      <c r="G1683" s="562"/>
      <c r="H1683" s="562"/>
      <c r="I1683" s="562"/>
      <c r="J1683" s="563"/>
    </row>
    <row r="1684" spans="2:10" ht="12.75">
      <c r="B1684" s="603"/>
      <c r="C1684" s="1186"/>
      <c r="D1684" s="562"/>
      <c r="E1684" s="562"/>
      <c r="F1684" s="562"/>
      <c r="G1684" s="562"/>
      <c r="H1684" s="562"/>
      <c r="I1684" s="562"/>
      <c r="J1684" s="563"/>
    </row>
    <row r="1685" spans="2:10" ht="12.75">
      <c r="B1685" s="603"/>
      <c r="C1685" s="1186"/>
      <c r="D1685" s="562"/>
      <c r="E1685" s="562"/>
      <c r="F1685" s="562"/>
      <c r="G1685" s="562"/>
      <c r="H1685" s="562"/>
      <c r="I1685" s="562"/>
      <c r="J1685" s="563"/>
    </row>
    <row r="1686" spans="2:10" ht="12.75">
      <c r="B1686" s="603"/>
      <c r="C1686" s="1186"/>
      <c r="D1686" s="562"/>
      <c r="E1686" s="562"/>
      <c r="F1686" s="562"/>
      <c r="G1686" s="562"/>
      <c r="H1686" s="562"/>
      <c r="I1686" s="562"/>
      <c r="J1686" s="563"/>
    </row>
    <row r="1687" spans="2:10" ht="12.75">
      <c r="B1687" s="603"/>
      <c r="C1687" s="1186"/>
      <c r="D1687" s="562"/>
      <c r="E1687" s="562"/>
      <c r="F1687" s="562"/>
      <c r="G1687" s="562"/>
      <c r="H1687" s="562"/>
      <c r="I1687" s="562"/>
      <c r="J1687" s="563"/>
    </row>
    <row r="1688" spans="2:10" ht="12.75">
      <c r="B1688" s="603"/>
      <c r="C1688" s="1186"/>
      <c r="D1688" s="562"/>
      <c r="E1688" s="562"/>
      <c r="F1688" s="562"/>
      <c r="G1688" s="562"/>
      <c r="H1688" s="562"/>
      <c r="I1688" s="562"/>
      <c r="J1688" s="563"/>
    </row>
    <row r="1689" spans="2:10" ht="12.75">
      <c r="B1689" s="603"/>
      <c r="C1689" s="1186"/>
      <c r="D1689" s="562"/>
      <c r="E1689" s="562"/>
      <c r="F1689" s="562"/>
      <c r="G1689" s="562"/>
      <c r="H1689" s="562"/>
      <c r="I1689" s="562"/>
      <c r="J1689" s="563"/>
    </row>
    <row r="1690" spans="2:10" ht="12.75">
      <c r="B1690" s="603"/>
      <c r="C1690" s="1186"/>
      <c r="D1690" s="562"/>
      <c r="E1690" s="562"/>
      <c r="F1690" s="562"/>
      <c r="G1690" s="562"/>
      <c r="H1690" s="562"/>
      <c r="I1690" s="562"/>
      <c r="J1690" s="563"/>
    </row>
    <row r="1691" spans="2:10" ht="12.75">
      <c r="B1691" s="603"/>
      <c r="C1691" s="1186"/>
      <c r="D1691" s="562"/>
      <c r="E1691" s="562"/>
      <c r="F1691" s="562"/>
      <c r="G1691" s="562"/>
      <c r="H1691" s="562"/>
      <c r="I1691" s="562"/>
      <c r="J1691" s="563"/>
    </row>
    <row r="1692" spans="2:10" ht="12.75">
      <c r="B1692" s="603"/>
      <c r="C1692" s="1186"/>
      <c r="D1692" s="562"/>
      <c r="E1692" s="562"/>
      <c r="F1692" s="562"/>
      <c r="G1692" s="562"/>
      <c r="H1692" s="562"/>
      <c r="I1692" s="562"/>
      <c r="J1692" s="563"/>
    </row>
    <row r="1693" spans="2:10" ht="12.75">
      <c r="B1693" s="603"/>
      <c r="C1693" s="1186"/>
      <c r="D1693" s="562"/>
      <c r="E1693" s="562"/>
      <c r="F1693" s="562"/>
      <c r="G1693" s="562"/>
      <c r="H1693" s="562"/>
      <c r="I1693" s="562"/>
      <c r="J1693" s="563"/>
    </row>
    <row r="1694" spans="2:10" ht="12.75">
      <c r="B1694" s="603"/>
      <c r="C1694" s="1186"/>
      <c r="D1694" s="562"/>
      <c r="E1694" s="562"/>
      <c r="F1694" s="562"/>
      <c r="G1694" s="562"/>
      <c r="H1694" s="562"/>
      <c r="I1694" s="562"/>
      <c r="J1694" s="563"/>
    </row>
    <row r="1695" spans="2:10" ht="12.75">
      <c r="B1695" s="603"/>
      <c r="C1695" s="1186"/>
      <c r="D1695" s="562"/>
      <c r="E1695" s="562"/>
      <c r="F1695" s="562"/>
      <c r="G1695" s="562"/>
      <c r="H1695" s="562"/>
      <c r="I1695" s="562"/>
      <c r="J1695" s="563"/>
    </row>
    <row r="1696" spans="2:10" ht="12.75">
      <c r="B1696" s="603"/>
      <c r="C1696" s="1186"/>
      <c r="D1696" s="562"/>
      <c r="E1696" s="562"/>
      <c r="F1696" s="562"/>
      <c r="G1696" s="562"/>
      <c r="H1696" s="562"/>
      <c r="I1696" s="562"/>
      <c r="J1696" s="563"/>
    </row>
    <row r="1697" spans="2:10" ht="12.75">
      <c r="B1697" s="603"/>
      <c r="C1697" s="1186"/>
      <c r="D1697" s="562"/>
      <c r="E1697" s="562"/>
      <c r="F1697" s="562"/>
      <c r="G1697" s="562"/>
      <c r="H1697" s="562"/>
      <c r="I1697" s="562"/>
      <c r="J1697" s="563"/>
    </row>
    <row r="1698" spans="2:10" ht="12.75">
      <c r="B1698" s="603"/>
      <c r="C1698" s="1186"/>
      <c r="D1698" s="562"/>
      <c r="E1698" s="562"/>
      <c r="F1698" s="562"/>
      <c r="G1698" s="562"/>
      <c r="H1698" s="562"/>
      <c r="I1698" s="562"/>
      <c r="J1698" s="563"/>
    </row>
    <row r="1699" spans="2:10" ht="12.75">
      <c r="B1699" s="603"/>
      <c r="C1699" s="1186"/>
      <c r="D1699" s="562"/>
      <c r="E1699" s="562"/>
      <c r="F1699" s="562"/>
      <c r="G1699" s="562"/>
      <c r="H1699" s="562"/>
      <c r="I1699" s="562"/>
      <c r="J1699" s="563"/>
    </row>
    <row r="1700" spans="2:10" ht="12.75">
      <c r="B1700" s="603"/>
      <c r="C1700" s="1186"/>
      <c r="D1700" s="562"/>
      <c r="E1700" s="562"/>
      <c r="F1700" s="562"/>
      <c r="G1700" s="562"/>
      <c r="H1700" s="562"/>
      <c r="I1700" s="562"/>
      <c r="J1700" s="563"/>
    </row>
    <row r="1701" spans="2:10" ht="12.75">
      <c r="B1701" s="603"/>
      <c r="C1701" s="1186"/>
      <c r="D1701" s="562"/>
      <c r="E1701" s="562"/>
      <c r="F1701" s="562"/>
      <c r="G1701" s="562"/>
      <c r="H1701" s="562"/>
      <c r="I1701" s="562"/>
      <c r="J1701" s="563"/>
    </row>
    <row r="1702" spans="2:10" ht="12.75">
      <c r="B1702" s="603"/>
      <c r="C1702" s="1186"/>
      <c r="D1702" s="562"/>
      <c r="E1702" s="562"/>
      <c r="F1702" s="562"/>
      <c r="G1702" s="562"/>
      <c r="H1702" s="562"/>
      <c r="I1702" s="562"/>
      <c r="J1702" s="563"/>
    </row>
    <row r="1703" spans="2:10" ht="12.75">
      <c r="B1703" s="603"/>
      <c r="C1703" s="1186"/>
      <c r="D1703" s="562"/>
      <c r="E1703" s="562"/>
      <c r="F1703" s="562"/>
      <c r="G1703" s="562"/>
      <c r="H1703" s="562"/>
      <c r="I1703" s="562"/>
      <c r="J1703" s="563"/>
    </row>
    <row r="1704" spans="2:10" ht="12.75">
      <c r="B1704" s="603"/>
      <c r="C1704" s="1186"/>
      <c r="D1704" s="562"/>
      <c r="E1704" s="562"/>
      <c r="F1704" s="562"/>
      <c r="G1704" s="562"/>
      <c r="H1704" s="562"/>
      <c r="I1704" s="562"/>
      <c r="J1704" s="563"/>
    </row>
    <row r="1705" spans="2:10" ht="12.75">
      <c r="B1705" s="603"/>
      <c r="C1705" s="1186"/>
      <c r="D1705" s="562"/>
      <c r="E1705" s="562"/>
      <c r="F1705" s="562"/>
      <c r="G1705" s="562"/>
      <c r="H1705" s="562"/>
      <c r="I1705" s="562"/>
      <c r="J1705" s="563"/>
    </row>
    <row r="1706" spans="2:10" ht="12.75">
      <c r="B1706" s="603"/>
      <c r="C1706" s="1186"/>
      <c r="D1706" s="562"/>
      <c r="E1706" s="562"/>
      <c r="F1706" s="562"/>
      <c r="G1706" s="562"/>
      <c r="H1706" s="562"/>
      <c r="I1706" s="562"/>
      <c r="J1706" s="563"/>
    </row>
    <row r="1707" spans="2:10" ht="12.75">
      <c r="B1707" s="603"/>
      <c r="C1707" s="1186"/>
      <c r="D1707" s="562"/>
      <c r="E1707" s="562"/>
      <c r="F1707" s="562"/>
      <c r="G1707" s="562"/>
      <c r="H1707" s="562"/>
      <c r="I1707" s="562"/>
      <c r="J1707" s="563"/>
    </row>
    <row r="1708" spans="2:10" ht="12.75">
      <c r="B1708" s="603"/>
      <c r="C1708" s="1186"/>
      <c r="D1708" s="562"/>
      <c r="E1708" s="562"/>
      <c r="F1708" s="562"/>
      <c r="G1708" s="562"/>
      <c r="H1708" s="562"/>
      <c r="I1708" s="562"/>
      <c r="J1708" s="563"/>
    </row>
    <row r="1709" spans="2:10" ht="12.75">
      <c r="B1709" s="603"/>
      <c r="C1709" s="1186"/>
      <c r="D1709" s="562"/>
      <c r="E1709" s="562"/>
      <c r="F1709" s="562"/>
      <c r="G1709" s="562"/>
      <c r="H1709" s="562"/>
      <c r="I1709" s="562"/>
      <c r="J1709" s="563"/>
    </row>
    <row r="1710" spans="2:10" ht="12.75">
      <c r="B1710" s="603"/>
      <c r="C1710" s="1186"/>
      <c r="D1710" s="562"/>
      <c r="E1710" s="562"/>
      <c r="F1710" s="562"/>
      <c r="G1710" s="562"/>
      <c r="H1710" s="562"/>
      <c r="I1710" s="562"/>
      <c r="J1710" s="563"/>
    </row>
    <row r="1711" spans="2:10" ht="12.75">
      <c r="B1711" s="603"/>
      <c r="C1711" s="1186"/>
      <c r="D1711" s="562"/>
      <c r="E1711" s="562"/>
      <c r="F1711" s="562"/>
      <c r="G1711" s="562"/>
      <c r="H1711" s="562"/>
      <c r="I1711" s="562"/>
      <c r="J1711" s="563"/>
    </row>
    <row r="1712" spans="2:10" ht="12.75">
      <c r="B1712" s="603"/>
      <c r="C1712" s="1186"/>
      <c r="D1712" s="562"/>
      <c r="E1712" s="562"/>
      <c r="F1712" s="562"/>
      <c r="G1712" s="562"/>
      <c r="H1712" s="562"/>
      <c r="I1712" s="562"/>
      <c r="J1712" s="563"/>
    </row>
    <row r="1713" spans="2:10" ht="12.75">
      <c r="B1713" s="603"/>
      <c r="C1713" s="1186"/>
      <c r="D1713" s="562"/>
      <c r="E1713" s="562"/>
      <c r="F1713" s="562"/>
      <c r="G1713" s="562"/>
      <c r="H1713" s="562"/>
      <c r="I1713" s="562"/>
      <c r="J1713" s="563"/>
    </row>
    <row r="1714" spans="2:10" ht="12.75">
      <c r="B1714" s="603"/>
      <c r="C1714" s="1186"/>
      <c r="D1714" s="562"/>
      <c r="E1714" s="562"/>
      <c r="F1714" s="562"/>
      <c r="G1714" s="562"/>
      <c r="H1714" s="562"/>
      <c r="I1714" s="562"/>
      <c r="J1714" s="563"/>
    </row>
    <row r="1715" spans="2:10" ht="12.75">
      <c r="B1715" s="603"/>
      <c r="C1715" s="1186"/>
      <c r="D1715" s="562"/>
      <c r="E1715" s="562"/>
      <c r="F1715" s="562"/>
      <c r="G1715" s="562"/>
      <c r="H1715" s="562"/>
      <c r="I1715" s="562"/>
      <c r="J1715" s="563"/>
    </row>
    <row r="1716" spans="2:10" ht="12.75">
      <c r="B1716" s="603"/>
      <c r="C1716" s="1186"/>
      <c r="D1716" s="562"/>
      <c r="E1716" s="562"/>
      <c r="F1716" s="562"/>
      <c r="G1716" s="562"/>
      <c r="H1716" s="562"/>
      <c r="I1716" s="562"/>
      <c r="J1716" s="563"/>
    </row>
    <row r="1717" spans="2:10" ht="12.75">
      <c r="B1717" s="603"/>
      <c r="C1717" s="1186"/>
      <c r="D1717" s="562"/>
      <c r="E1717" s="562"/>
      <c r="F1717" s="562"/>
      <c r="G1717" s="562"/>
      <c r="H1717" s="562"/>
      <c r="I1717" s="562"/>
      <c r="J1717" s="563"/>
    </row>
    <row r="1718" spans="2:10" ht="12.75">
      <c r="B1718" s="603"/>
      <c r="C1718" s="1186"/>
      <c r="D1718" s="562"/>
      <c r="E1718" s="562"/>
      <c r="F1718" s="562"/>
      <c r="G1718" s="562"/>
      <c r="H1718" s="562"/>
      <c r="I1718" s="562"/>
      <c r="J1718" s="563"/>
    </row>
    <row r="1719" spans="2:10" ht="12.75">
      <c r="B1719" s="603"/>
      <c r="C1719" s="1186"/>
      <c r="D1719" s="562"/>
      <c r="E1719" s="562"/>
      <c r="F1719" s="562"/>
      <c r="G1719" s="562"/>
      <c r="H1719" s="562"/>
      <c r="I1719" s="562"/>
      <c r="J1719" s="563"/>
    </row>
    <row r="1720" spans="2:10" ht="12.75">
      <c r="B1720" s="603"/>
      <c r="C1720" s="1186"/>
      <c r="D1720" s="562"/>
      <c r="E1720" s="562"/>
      <c r="F1720" s="562"/>
      <c r="G1720" s="562"/>
      <c r="H1720" s="562"/>
      <c r="I1720" s="562"/>
      <c r="J1720" s="563"/>
    </row>
    <row r="1721" spans="2:10" ht="12.75">
      <c r="B1721" s="603"/>
      <c r="C1721" s="1186"/>
      <c r="D1721" s="562"/>
      <c r="E1721" s="562"/>
      <c r="F1721" s="562"/>
      <c r="G1721" s="562"/>
      <c r="H1721" s="562"/>
      <c r="I1721" s="562"/>
      <c r="J1721" s="563"/>
    </row>
    <row r="1722" spans="2:10" ht="12.75">
      <c r="B1722" s="603"/>
      <c r="C1722" s="1186"/>
      <c r="D1722" s="562"/>
      <c r="E1722" s="562"/>
      <c r="F1722" s="562"/>
      <c r="G1722" s="562"/>
      <c r="H1722" s="562"/>
      <c r="I1722" s="562"/>
      <c r="J1722" s="563"/>
    </row>
    <row r="1723" spans="2:10" ht="12.75">
      <c r="B1723" s="603"/>
      <c r="C1723" s="1186"/>
      <c r="D1723" s="562"/>
      <c r="E1723" s="562"/>
      <c r="F1723" s="562"/>
      <c r="G1723" s="562"/>
      <c r="H1723" s="562"/>
      <c r="I1723" s="562"/>
      <c r="J1723" s="563"/>
    </row>
    <row r="1724" spans="2:10" ht="12.75">
      <c r="B1724" s="603"/>
      <c r="C1724" s="1186"/>
      <c r="D1724" s="562"/>
      <c r="E1724" s="562"/>
      <c r="F1724" s="562"/>
      <c r="G1724" s="562"/>
      <c r="H1724" s="562"/>
      <c r="I1724" s="562"/>
      <c r="J1724" s="563"/>
    </row>
    <row r="1725" spans="2:10" ht="12.75">
      <c r="B1725" s="603"/>
      <c r="C1725" s="1186"/>
      <c r="D1725" s="562"/>
      <c r="E1725" s="562"/>
      <c r="F1725" s="562"/>
      <c r="G1725" s="562"/>
      <c r="H1725" s="562"/>
      <c r="I1725" s="562"/>
      <c r="J1725" s="563"/>
    </row>
    <row r="1726" spans="2:10" ht="12.75">
      <c r="B1726" s="603"/>
      <c r="C1726" s="1186"/>
      <c r="D1726" s="562"/>
      <c r="E1726" s="562"/>
      <c r="F1726" s="562"/>
      <c r="G1726" s="562"/>
      <c r="H1726" s="562"/>
      <c r="I1726" s="562"/>
      <c r="J1726" s="563"/>
    </row>
    <row r="1727" spans="2:10" ht="12.75">
      <c r="B1727" s="603"/>
      <c r="C1727" s="1186"/>
      <c r="D1727" s="562"/>
      <c r="E1727" s="562"/>
      <c r="F1727" s="562"/>
      <c r="G1727" s="562"/>
      <c r="H1727" s="562"/>
      <c r="I1727" s="562"/>
      <c r="J1727" s="563"/>
    </row>
    <row r="1728" spans="2:10" ht="12.75">
      <c r="B1728" s="603"/>
      <c r="C1728" s="1186"/>
      <c r="D1728" s="562"/>
      <c r="E1728" s="562"/>
      <c r="F1728" s="562"/>
      <c r="G1728" s="562"/>
      <c r="H1728" s="562"/>
      <c r="I1728" s="562"/>
      <c r="J1728" s="563"/>
    </row>
    <row r="1729" spans="2:10" ht="12.75">
      <c r="B1729" s="603"/>
      <c r="C1729" s="1186"/>
      <c r="D1729" s="562"/>
      <c r="E1729" s="562"/>
      <c r="F1729" s="562"/>
      <c r="G1729" s="562"/>
      <c r="H1729" s="562"/>
      <c r="I1729" s="562"/>
      <c r="J1729" s="563"/>
    </row>
    <row r="1730" spans="2:10" ht="12.75">
      <c r="B1730" s="603"/>
      <c r="C1730" s="1186"/>
      <c r="D1730" s="562"/>
      <c r="E1730" s="562"/>
      <c r="F1730" s="562"/>
      <c r="G1730" s="562"/>
      <c r="H1730" s="562"/>
      <c r="I1730" s="562"/>
      <c r="J1730" s="563"/>
    </row>
    <row r="1731" spans="2:10" ht="12.75">
      <c r="B1731" s="603"/>
      <c r="C1731" s="1186"/>
      <c r="D1731" s="562"/>
      <c r="E1731" s="562"/>
      <c r="F1731" s="562"/>
      <c r="G1731" s="562"/>
      <c r="H1731" s="562"/>
      <c r="I1731" s="562"/>
      <c r="J1731" s="563"/>
    </row>
    <row r="1732" spans="2:10" ht="12.75">
      <c r="B1732" s="603"/>
      <c r="C1732" s="1186"/>
      <c r="D1732" s="562"/>
      <c r="E1732" s="562"/>
      <c r="F1732" s="562"/>
      <c r="G1732" s="562"/>
      <c r="H1732" s="562"/>
      <c r="I1732" s="562"/>
      <c r="J1732" s="563"/>
    </row>
    <row r="1733" spans="2:10" ht="12.75">
      <c r="B1733" s="603"/>
      <c r="C1733" s="1186"/>
      <c r="D1733" s="562"/>
      <c r="E1733" s="562"/>
      <c r="F1733" s="562"/>
      <c r="G1733" s="562"/>
      <c r="H1733" s="562"/>
      <c r="I1733" s="562"/>
      <c r="J1733" s="563"/>
    </row>
    <row r="1734" spans="2:10" ht="12.75">
      <c r="B1734" s="603"/>
      <c r="C1734" s="1186"/>
      <c r="D1734" s="562"/>
      <c r="E1734" s="562"/>
      <c r="F1734" s="562"/>
      <c r="G1734" s="562"/>
      <c r="H1734" s="562"/>
      <c r="I1734" s="562"/>
      <c r="J1734" s="563"/>
    </row>
    <row r="1735" spans="2:10" ht="12.75">
      <c r="B1735" s="603"/>
      <c r="C1735" s="1186"/>
      <c r="D1735" s="562"/>
      <c r="E1735" s="562"/>
      <c r="F1735" s="562"/>
      <c r="G1735" s="562"/>
      <c r="H1735" s="562"/>
      <c r="I1735" s="562"/>
      <c r="J1735" s="563"/>
    </row>
    <row r="1736" spans="2:10" ht="12.75">
      <c r="B1736" s="603"/>
      <c r="C1736" s="1186"/>
      <c r="D1736" s="562"/>
      <c r="E1736" s="562"/>
      <c r="F1736" s="562"/>
      <c r="G1736" s="562"/>
      <c r="H1736" s="562"/>
      <c r="I1736" s="562"/>
      <c r="J1736" s="563"/>
    </row>
    <row r="1737" spans="2:10" ht="12.75">
      <c r="B1737" s="603"/>
      <c r="C1737" s="1186"/>
      <c r="D1737" s="562"/>
      <c r="E1737" s="562"/>
      <c r="F1737" s="562"/>
      <c r="G1737" s="562"/>
      <c r="H1737" s="562"/>
      <c r="I1737" s="562"/>
      <c r="J1737" s="563"/>
    </row>
    <row r="1738" spans="2:10" ht="12.75">
      <c r="B1738" s="603"/>
      <c r="C1738" s="1186"/>
      <c r="D1738" s="562"/>
      <c r="E1738" s="562"/>
      <c r="F1738" s="562"/>
      <c r="G1738" s="562"/>
      <c r="H1738" s="562"/>
      <c r="I1738" s="562"/>
      <c r="J1738" s="563"/>
    </row>
    <row r="1739" spans="2:10" ht="12.75">
      <c r="B1739" s="603"/>
      <c r="C1739" s="1186"/>
      <c r="D1739" s="562"/>
      <c r="E1739" s="562"/>
      <c r="F1739" s="562"/>
      <c r="G1739" s="562"/>
      <c r="H1739" s="562"/>
      <c r="I1739" s="562"/>
      <c r="J1739" s="563"/>
    </row>
    <row r="1740" spans="2:10" ht="12.75">
      <c r="B1740" s="603"/>
      <c r="C1740" s="1186"/>
      <c r="D1740" s="562"/>
      <c r="E1740" s="562"/>
      <c r="F1740" s="562"/>
      <c r="G1740" s="562"/>
      <c r="H1740" s="562"/>
      <c r="I1740" s="562"/>
      <c r="J1740" s="563"/>
    </row>
    <row r="1741" spans="2:10" ht="12.75">
      <c r="B1741" s="603"/>
      <c r="C1741" s="1186"/>
      <c r="D1741" s="562"/>
      <c r="E1741" s="562"/>
      <c r="F1741" s="562"/>
      <c r="G1741" s="562"/>
      <c r="H1741" s="562"/>
      <c r="I1741" s="562"/>
      <c r="J1741" s="563"/>
    </row>
    <row r="1742" spans="2:10" ht="12.75">
      <c r="B1742" s="603"/>
      <c r="C1742" s="1186"/>
      <c r="D1742" s="562"/>
      <c r="E1742" s="562"/>
      <c r="F1742" s="562"/>
      <c r="G1742" s="562"/>
      <c r="H1742" s="562"/>
      <c r="I1742" s="562"/>
      <c r="J1742" s="563"/>
    </row>
    <row r="1743" spans="2:10" ht="12.75">
      <c r="B1743" s="603"/>
      <c r="C1743" s="1186"/>
      <c r="D1743" s="562"/>
      <c r="E1743" s="562"/>
      <c r="F1743" s="562"/>
      <c r="G1743" s="562"/>
      <c r="H1743" s="562"/>
      <c r="I1743" s="562"/>
      <c r="J1743" s="563"/>
    </row>
    <row r="1744" spans="2:10" ht="12.75">
      <c r="B1744" s="603"/>
      <c r="C1744" s="1186"/>
      <c r="D1744" s="562"/>
      <c r="E1744" s="562"/>
      <c r="F1744" s="562"/>
      <c r="G1744" s="562"/>
      <c r="H1744" s="562"/>
      <c r="I1744" s="562"/>
      <c r="J1744" s="563"/>
    </row>
    <row r="1745" spans="2:10" ht="12.75">
      <c r="B1745" s="603"/>
      <c r="C1745" s="1186"/>
      <c r="D1745" s="562"/>
      <c r="E1745" s="562"/>
      <c r="F1745" s="562"/>
      <c r="G1745" s="562"/>
      <c r="H1745" s="562"/>
      <c r="I1745" s="562"/>
      <c r="J1745" s="563"/>
    </row>
    <row r="1746" spans="2:10" ht="12.75">
      <c r="B1746" s="603"/>
      <c r="C1746" s="1186"/>
      <c r="D1746" s="562"/>
      <c r="E1746" s="562"/>
      <c r="F1746" s="562"/>
      <c r="G1746" s="562"/>
      <c r="H1746" s="562"/>
      <c r="I1746" s="562"/>
      <c r="J1746" s="563"/>
    </row>
    <row r="1747" spans="2:10" ht="12.75">
      <c r="B1747" s="603"/>
      <c r="C1747" s="1186"/>
      <c r="D1747" s="562"/>
      <c r="E1747" s="562"/>
      <c r="F1747" s="562"/>
      <c r="G1747" s="562"/>
      <c r="H1747" s="562"/>
      <c r="I1747" s="562"/>
      <c r="J1747" s="563"/>
    </row>
    <row r="1748" spans="2:10" ht="12.75">
      <c r="B1748" s="603"/>
      <c r="C1748" s="1186"/>
      <c r="D1748" s="562"/>
      <c r="E1748" s="562"/>
      <c r="F1748" s="562"/>
      <c r="G1748" s="562"/>
      <c r="H1748" s="562"/>
      <c r="I1748" s="562"/>
      <c r="J1748" s="563"/>
    </row>
    <row r="1749" spans="2:10" ht="12.75">
      <c r="B1749" s="603"/>
      <c r="C1749" s="1186"/>
      <c r="D1749" s="562"/>
      <c r="E1749" s="562"/>
      <c r="F1749" s="562"/>
      <c r="G1749" s="562"/>
      <c r="H1749" s="562"/>
      <c r="I1749" s="562"/>
      <c r="J1749" s="563"/>
    </row>
    <row r="1750" spans="2:10" ht="12.75">
      <c r="B1750" s="603"/>
      <c r="C1750" s="1186"/>
      <c r="D1750" s="562"/>
      <c r="E1750" s="562"/>
      <c r="F1750" s="562"/>
      <c r="G1750" s="562"/>
      <c r="H1750" s="562"/>
      <c r="I1750" s="562"/>
      <c r="J1750" s="563"/>
    </row>
    <row r="1751" spans="2:10" ht="12.75">
      <c r="B1751" s="603"/>
      <c r="C1751" s="1186"/>
      <c r="D1751" s="562"/>
      <c r="E1751" s="562"/>
      <c r="F1751" s="562"/>
      <c r="G1751" s="562"/>
      <c r="H1751" s="562"/>
      <c r="I1751" s="562"/>
      <c r="J1751" s="563"/>
    </row>
    <row r="1752" spans="2:10" ht="12.75">
      <c r="B1752" s="603"/>
      <c r="C1752" s="1186"/>
      <c r="D1752" s="562"/>
      <c r="E1752" s="562"/>
      <c r="F1752" s="562"/>
      <c r="G1752" s="562"/>
      <c r="H1752" s="562"/>
      <c r="I1752" s="562"/>
      <c r="J1752" s="563"/>
    </row>
    <row r="1753" spans="2:10" ht="12.75">
      <c r="B1753" s="603"/>
      <c r="C1753" s="1186"/>
      <c r="D1753" s="562"/>
      <c r="E1753" s="562"/>
      <c r="F1753" s="562"/>
      <c r="G1753" s="562"/>
      <c r="H1753" s="562"/>
      <c r="I1753" s="562"/>
      <c r="J1753" s="563"/>
    </row>
    <row r="1754" spans="2:10" ht="12.75">
      <c r="B1754" s="603"/>
      <c r="C1754" s="1186"/>
      <c r="D1754" s="562"/>
      <c r="E1754" s="562"/>
      <c r="F1754" s="562"/>
      <c r="G1754" s="562"/>
      <c r="H1754" s="562"/>
      <c r="I1754" s="562"/>
      <c r="J1754" s="563"/>
    </row>
    <row r="1755" spans="2:10" ht="12.75">
      <c r="B1755" s="603"/>
      <c r="C1755" s="1186"/>
      <c r="D1755" s="562"/>
      <c r="E1755" s="562"/>
      <c r="F1755" s="562"/>
      <c r="G1755" s="562"/>
      <c r="H1755" s="562"/>
      <c r="I1755" s="562"/>
      <c r="J1755" s="563"/>
    </row>
    <row r="1756" spans="2:10" ht="12.75">
      <c r="B1756" s="603"/>
      <c r="C1756" s="1186"/>
      <c r="D1756" s="562"/>
      <c r="E1756" s="562"/>
      <c r="F1756" s="562"/>
      <c r="G1756" s="562"/>
      <c r="H1756" s="562"/>
      <c r="I1756" s="562"/>
      <c r="J1756" s="563"/>
    </row>
    <row r="1757" spans="2:10" ht="12.75">
      <c r="B1757" s="603"/>
      <c r="C1757" s="1186"/>
      <c r="D1757" s="562"/>
      <c r="E1757" s="562"/>
      <c r="F1757" s="562"/>
      <c r="G1757" s="562"/>
      <c r="H1757" s="562"/>
      <c r="I1757" s="562"/>
      <c r="J1757" s="563"/>
    </row>
    <row r="1758" spans="2:10" ht="12.75">
      <c r="B1758" s="603"/>
      <c r="C1758" s="1186"/>
      <c r="D1758" s="562"/>
      <c r="E1758" s="562"/>
      <c r="F1758" s="562"/>
      <c r="G1758" s="562"/>
      <c r="H1758" s="562"/>
      <c r="I1758" s="562"/>
      <c r="J1758" s="563"/>
    </row>
    <row r="1759" spans="2:10" ht="12.75">
      <c r="B1759" s="603"/>
      <c r="C1759" s="1186"/>
      <c r="D1759" s="562"/>
      <c r="E1759" s="562"/>
      <c r="F1759" s="562"/>
      <c r="G1759" s="562"/>
      <c r="H1759" s="562"/>
      <c r="I1759" s="562"/>
      <c r="J1759" s="563"/>
    </row>
    <row r="1760" spans="2:10" ht="12.75">
      <c r="B1760" s="603"/>
      <c r="C1760" s="1186"/>
      <c r="D1760" s="562"/>
      <c r="E1760" s="562"/>
      <c r="F1760" s="562"/>
      <c r="G1760" s="562"/>
      <c r="H1760" s="562"/>
      <c r="I1760" s="562"/>
      <c r="J1760" s="563"/>
    </row>
    <row r="1761" spans="2:10" ht="12.75">
      <c r="B1761" s="603"/>
      <c r="C1761" s="1186"/>
      <c r="D1761" s="562"/>
      <c r="E1761" s="562"/>
      <c r="F1761" s="562"/>
      <c r="G1761" s="562"/>
      <c r="H1761" s="562"/>
      <c r="I1761" s="562"/>
      <c r="J1761" s="563"/>
    </row>
    <row r="1762" spans="2:10" ht="12.75">
      <c r="B1762" s="603"/>
      <c r="C1762" s="1186"/>
      <c r="D1762" s="562"/>
      <c r="E1762" s="562"/>
      <c r="F1762" s="562"/>
      <c r="G1762" s="562"/>
      <c r="H1762" s="562"/>
      <c r="I1762" s="562"/>
      <c r="J1762" s="563"/>
    </row>
    <row r="1763" spans="2:10" ht="12.75">
      <c r="B1763" s="603"/>
      <c r="C1763" s="1186"/>
      <c r="D1763" s="562"/>
      <c r="E1763" s="562"/>
      <c r="F1763" s="562"/>
      <c r="G1763" s="562"/>
      <c r="H1763" s="562"/>
      <c r="I1763" s="562"/>
      <c r="J1763" s="563"/>
    </row>
    <row r="1764" spans="2:10" ht="12.75">
      <c r="B1764" s="603"/>
      <c r="C1764" s="1186"/>
      <c r="D1764" s="562"/>
      <c r="E1764" s="562"/>
      <c r="F1764" s="562"/>
      <c r="G1764" s="562"/>
      <c r="H1764" s="562"/>
      <c r="I1764" s="562"/>
      <c r="J1764" s="563"/>
    </row>
    <row r="1765" spans="2:10" ht="12.75">
      <c r="B1765" s="603"/>
      <c r="C1765" s="1186"/>
      <c r="D1765" s="562"/>
      <c r="E1765" s="562"/>
      <c r="F1765" s="562"/>
      <c r="G1765" s="562"/>
      <c r="H1765" s="562"/>
      <c r="I1765" s="562"/>
      <c r="J1765" s="563"/>
    </row>
    <row r="1766" spans="2:10" ht="12.75">
      <c r="B1766" s="603"/>
      <c r="C1766" s="1186"/>
      <c r="D1766" s="562"/>
      <c r="E1766" s="562"/>
      <c r="F1766" s="562"/>
      <c r="G1766" s="562"/>
      <c r="H1766" s="562"/>
      <c r="I1766" s="562"/>
      <c r="J1766" s="563"/>
    </row>
    <row r="1767" spans="2:10" ht="12.75">
      <c r="B1767" s="603"/>
      <c r="C1767" s="1186"/>
      <c r="D1767" s="562"/>
      <c r="E1767" s="562"/>
      <c r="F1767" s="562"/>
      <c r="G1767" s="562"/>
      <c r="H1767" s="562"/>
      <c r="I1767" s="562"/>
      <c r="J1767" s="563"/>
    </row>
    <row r="1768" spans="2:10" ht="12.75">
      <c r="B1768" s="603"/>
      <c r="C1768" s="1186"/>
      <c r="D1768" s="562"/>
      <c r="E1768" s="562"/>
      <c r="F1768" s="562"/>
      <c r="G1768" s="562"/>
      <c r="H1768" s="562"/>
      <c r="I1768" s="562"/>
      <c r="J1768" s="563"/>
    </row>
    <row r="1769" spans="2:10" ht="12.75">
      <c r="B1769" s="603"/>
      <c r="C1769" s="1186"/>
      <c r="D1769" s="562"/>
      <c r="E1769" s="562"/>
      <c r="F1769" s="562"/>
      <c r="G1769" s="562"/>
      <c r="H1769" s="562"/>
      <c r="I1769" s="562"/>
      <c r="J1769" s="563"/>
    </row>
    <row r="1770" spans="2:10" ht="12.75">
      <c r="B1770" s="603"/>
      <c r="C1770" s="1186"/>
      <c r="D1770" s="562"/>
      <c r="E1770" s="562"/>
      <c r="F1770" s="562"/>
      <c r="G1770" s="562"/>
      <c r="H1770" s="562"/>
      <c r="I1770" s="562"/>
      <c r="J1770" s="563"/>
    </row>
    <row r="1771" spans="2:10" ht="12.75">
      <c r="B1771" s="603"/>
      <c r="C1771" s="1186"/>
      <c r="D1771" s="562"/>
      <c r="E1771" s="562"/>
      <c r="F1771" s="562"/>
      <c r="G1771" s="562"/>
      <c r="H1771" s="562"/>
      <c r="I1771" s="562"/>
      <c r="J1771" s="563"/>
    </row>
    <row r="1772" spans="2:10" ht="12.75">
      <c r="B1772" s="603"/>
      <c r="C1772" s="1186"/>
      <c r="D1772" s="562"/>
      <c r="E1772" s="562"/>
      <c r="F1772" s="562"/>
      <c r="G1772" s="562"/>
      <c r="H1772" s="562"/>
      <c r="I1772" s="562"/>
      <c r="J1772" s="563"/>
    </row>
    <row r="1773" spans="2:10" ht="12.75">
      <c r="B1773" s="603"/>
      <c r="C1773" s="1186"/>
      <c r="D1773" s="562"/>
      <c r="E1773" s="562"/>
      <c r="F1773" s="562"/>
      <c r="G1773" s="562"/>
      <c r="H1773" s="562"/>
      <c r="I1773" s="562"/>
      <c r="J1773" s="563"/>
    </row>
    <row r="1774" spans="2:10" ht="12.75">
      <c r="B1774" s="603"/>
      <c r="C1774" s="1186"/>
      <c r="D1774" s="562"/>
      <c r="E1774" s="562"/>
      <c r="F1774" s="562"/>
      <c r="G1774" s="562"/>
      <c r="H1774" s="562"/>
      <c r="I1774" s="562"/>
      <c r="J1774" s="563"/>
    </row>
    <row r="1775" spans="2:10" ht="12.75">
      <c r="B1775" s="603"/>
      <c r="C1775" s="1186"/>
      <c r="D1775" s="562"/>
      <c r="E1775" s="562"/>
      <c r="F1775" s="562"/>
      <c r="G1775" s="562"/>
      <c r="H1775" s="562"/>
      <c r="I1775" s="562"/>
      <c r="J1775" s="563"/>
    </row>
    <row r="1776" spans="2:10" ht="12.75">
      <c r="B1776" s="603"/>
      <c r="C1776" s="1186"/>
      <c r="D1776" s="562"/>
      <c r="E1776" s="562"/>
      <c r="F1776" s="562"/>
      <c r="G1776" s="562"/>
      <c r="H1776" s="562"/>
      <c r="I1776" s="562"/>
      <c r="J1776" s="563"/>
    </row>
    <row r="1777" spans="2:10" ht="12.75">
      <c r="B1777" s="603"/>
      <c r="C1777" s="1186"/>
      <c r="D1777" s="562"/>
      <c r="E1777" s="562"/>
      <c r="F1777" s="562"/>
      <c r="G1777" s="562"/>
      <c r="H1777" s="562"/>
      <c r="I1777" s="562"/>
      <c r="J1777" s="563"/>
    </row>
    <row r="1778" spans="2:10" ht="12.75">
      <c r="B1778" s="603"/>
      <c r="C1778" s="1186"/>
      <c r="D1778" s="562"/>
      <c r="E1778" s="562"/>
      <c r="F1778" s="562"/>
      <c r="G1778" s="562"/>
      <c r="H1778" s="562"/>
      <c r="I1778" s="562"/>
      <c r="J1778" s="563"/>
    </row>
    <row r="1779" spans="2:10" ht="12.75">
      <c r="B1779" s="603"/>
      <c r="C1779" s="1186"/>
      <c r="D1779" s="562"/>
      <c r="E1779" s="562"/>
      <c r="F1779" s="562"/>
      <c r="G1779" s="562"/>
      <c r="H1779" s="562"/>
      <c r="I1779" s="562"/>
      <c r="J1779" s="563"/>
    </row>
    <row r="1780" spans="2:10" ht="12.75">
      <c r="B1780" s="603"/>
      <c r="C1780" s="1186"/>
      <c r="D1780" s="562"/>
      <c r="E1780" s="562"/>
      <c r="F1780" s="562"/>
      <c r="G1780" s="562"/>
      <c r="H1780" s="562"/>
      <c r="I1780" s="562"/>
      <c r="J1780" s="563"/>
    </row>
    <row r="1781" spans="2:10" ht="12.75">
      <c r="B1781" s="603"/>
      <c r="C1781" s="1186"/>
      <c r="D1781" s="562"/>
      <c r="E1781" s="562"/>
      <c r="F1781" s="562"/>
      <c r="G1781" s="562"/>
      <c r="H1781" s="562"/>
      <c r="I1781" s="562"/>
      <c r="J1781" s="563"/>
    </row>
    <row r="1782" spans="2:10" ht="12.75">
      <c r="B1782" s="603"/>
      <c r="C1782" s="1186"/>
      <c r="D1782" s="562"/>
      <c r="E1782" s="562"/>
      <c r="F1782" s="562"/>
      <c r="G1782" s="562"/>
      <c r="H1782" s="562"/>
      <c r="I1782" s="562"/>
      <c r="J1782" s="563"/>
    </row>
    <row r="1783" spans="2:10" ht="12.75">
      <c r="B1783" s="603"/>
      <c r="C1783" s="1186"/>
      <c r="D1783" s="562"/>
      <c r="E1783" s="562"/>
      <c r="F1783" s="562"/>
      <c r="G1783" s="562"/>
      <c r="H1783" s="562"/>
      <c r="I1783" s="562"/>
      <c r="J1783" s="563"/>
    </row>
    <row r="1784" spans="2:10" ht="12.75">
      <c r="B1784" s="603"/>
      <c r="C1784" s="1186"/>
      <c r="D1784" s="562"/>
      <c r="E1784" s="562"/>
      <c r="F1784" s="562"/>
      <c r="G1784" s="562"/>
      <c r="H1784" s="562"/>
      <c r="I1784" s="562"/>
      <c r="J1784" s="563"/>
    </row>
    <row r="1785" spans="2:10" ht="12.75">
      <c r="B1785" s="603"/>
      <c r="C1785" s="1186"/>
      <c r="D1785" s="562"/>
      <c r="E1785" s="562"/>
      <c r="F1785" s="562"/>
      <c r="G1785" s="562"/>
      <c r="H1785" s="562"/>
      <c r="I1785" s="562"/>
      <c r="J1785" s="563"/>
    </row>
    <row r="1786" spans="2:10" ht="12.75">
      <c r="B1786" s="603"/>
      <c r="C1786" s="1186"/>
      <c r="D1786" s="562"/>
      <c r="E1786" s="562"/>
      <c r="F1786" s="562"/>
      <c r="G1786" s="562"/>
      <c r="H1786" s="562"/>
      <c r="I1786" s="562"/>
      <c r="J1786" s="563"/>
    </row>
    <row r="1787" spans="2:10" ht="12.75">
      <c r="B1787" s="603"/>
      <c r="C1787" s="1186"/>
      <c r="D1787" s="562"/>
      <c r="E1787" s="562"/>
      <c r="F1787" s="562"/>
      <c r="G1787" s="562"/>
      <c r="H1787" s="562"/>
      <c r="I1787" s="562"/>
      <c r="J1787" s="563"/>
    </row>
    <row r="1788" spans="2:10" ht="12.75">
      <c r="B1788" s="603"/>
      <c r="C1788" s="1186"/>
      <c r="D1788" s="562"/>
      <c r="E1788" s="562"/>
      <c r="F1788" s="562"/>
      <c r="G1788" s="562"/>
      <c r="H1788" s="562"/>
      <c r="I1788" s="562"/>
      <c r="J1788" s="563"/>
    </row>
    <row r="1789" spans="2:10" ht="12.75">
      <c r="B1789" s="603"/>
      <c r="C1789" s="1186"/>
      <c r="D1789" s="562"/>
      <c r="E1789" s="562"/>
      <c r="F1789" s="562"/>
      <c r="G1789" s="562"/>
      <c r="H1789" s="562"/>
      <c r="I1789" s="562"/>
      <c r="J1789" s="563"/>
    </row>
    <row r="1790" spans="2:10" ht="12.75">
      <c r="B1790" s="603"/>
      <c r="C1790" s="1186"/>
      <c r="D1790" s="562"/>
      <c r="E1790" s="562"/>
      <c r="F1790" s="562"/>
      <c r="G1790" s="562"/>
      <c r="H1790" s="562"/>
      <c r="I1790" s="562"/>
      <c r="J1790" s="563"/>
    </row>
    <row r="1791" spans="2:10" ht="12.75">
      <c r="B1791" s="603"/>
      <c r="C1791" s="1186"/>
      <c r="D1791" s="562"/>
      <c r="E1791" s="562"/>
      <c r="F1791" s="562"/>
      <c r="G1791" s="562"/>
      <c r="H1791" s="562"/>
      <c r="I1791" s="562"/>
      <c r="J1791" s="563"/>
    </row>
    <row r="1792" spans="2:10" ht="12.75">
      <c r="B1792" s="603"/>
      <c r="C1792" s="1186"/>
      <c r="D1792" s="562"/>
      <c r="E1792" s="562"/>
      <c r="F1792" s="562"/>
      <c r="G1792" s="562"/>
      <c r="H1792" s="562"/>
      <c r="I1792" s="562"/>
      <c r="J1792" s="563"/>
    </row>
    <row r="1793" spans="2:10" ht="12.75">
      <c r="B1793" s="603"/>
      <c r="C1793" s="1186"/>
      <c r="D1793" s="562"/>
      <c r="E1793" s="562"/>
      <c r="F1793" s="562"/>
      <c r="G1793" s="562"/>
      <c r="H1793" s="562"/>
      <c r="I1793" s="562"/>
      <c r="J1793" s="563"/>
    </row>
    <row r="1794" spans="2:10" ht="12.75">
      <c r="B1794" s="603"/>
      <c r="C1794" s="1186"/>
      <c r="D1794" s="562"/>
      <c r="E1794" s="562"/>
      <c r="F1794" s="562"/>
      <c r="G1794" s="562"/>
      <c r="H1794" s="562"/>
      <c r="I1794" s="562"/>
      <c r="J1794" s="563"/>
    </row>
    <row r="1795" spans="2:10" ht="12.75">
      <c r="B1795" s="603"/>
      <c r="C1795" s="1186"/>
      <c r="D1795" s="562"/>
      <c r="E1795" s="562"/>
      <c r="F1795" s="562"/>
      <c r="G1795" s="562"/>
      <c r="H1795" s="562"/>
      <c r="I1795" s="562"/>
      <c r="J1795" s="563"/>
    </row>
    <row r="1796" spans="2:10" ht="12.75">
      <c r="B1796" s="603"/>
      <c r="C1796" s="1186"/>
      <c r="D1796" s="562"/>
      <c r="E1796" s="562"/>
      <c r="F1796" s="562"/>
      <c r="G1796" s="562"/>
      <c r="H1796" s="562"/>
      <c r="I1796" s="562"/>
      <c r="J1796" s="563"/>
    </row>
    <row r="1797" spans="2:10" ht="12.75">
      <c r="B1797" s="603"/>
      <c r="C1797" s="1186"/>
      <c r="D1797" s="562"/>
      <c r="E1797" s="562"/>
      <c r="F1797" s="562"/>
      <c r="G1797" s="562"/>
      <c r="H1797" s="562"/>
      <c r="I1797" s="562"/>
      <c r="J1797" s="563"/>
    </row>
    <row r="1798" spans="2:10" ht="12.75">
      <c r="B1798" s="603"/>
      <c r="C1798" s="1186"/>
      <c r="D1798" s="562"/>
      <c r="E1798" s="562"/>
      <c r="F1798" s="562"/>
      <c r="G1798" s="562"/>
      <c r="H1798" s="562"/>
      <c r="I1798" s="562"/>
      <c r="J1798" s="563"/>
    </row>
    <row r="1799" spans="2:10" ht="12.75">
      <c r="B1799" s="603"/>
      <c r="C1799" s="1186"/>
      <c r="D1799" s="562"/>
      <c r="E1799" s="562"/>
      <c r="F1799" s="562"/>
      <c r="G1799" s="562"/>
      <c r="H1799" s="562"/>
      <c r="I1799" s="562"/>
      <c r="J1799" s="563"/>
    </row>
    <row r="1800" spans="2:10" ht="12.75">
      <c r="B1800" s="603"/>
      <c r="C1800" s="1186"/>
      <c r="D1800" s="562"/>
      <c r="E1800" s="562"/>
      <c r="F1800" s="562"/>
      <c r="G1800" s="562"/>
      <c r="H1800" s="562"/>
      <c r="I1800" s="562"/>
      <c r="J1800" s="563"/>
    </row>
    <row r="1801" spans="2:10" ht="12.75">
      <c r="B1801" s="603"/>
      <c r="C1801" s="1186"/>
      <c r="D1801" s="562"/>
      <c r="E1801" s="562"/>
      <c r="F1801" s="562"/>
      <c r="G1801" s="562"/>
      <c r="H1801" s="562"/>
      <c r="I1801" s="562"/>
      <c r="J1801" s="563"/>
    </row>
    <row r="1802" spans="2:10" ht="12.75">
      <c r="B1802" s="603"/>
      <c r="C1802" s="1186"/>
      <c r="D1802" s="562"/>
      <c r="E1802" s="562"/>
      <c r="F1802" s="562"/>
      <c r="G1802" s="562"/>
      <c r="H1802" s="562"/>
      <c r="I1802" s="562"/>
      <c r="J1802" s="563"/>
    </row>
    <row r="1803" spans="2:10" ht="12.75">
      <c r="B1803" s="603"/>
      <c r="C1803" s="1186"/>
      <c r="D1803" s="562"/>
      <c r="E1803" s="562"/>
      <c r="F1803" s="562"/>
      <c r="G1803" s="562"/>
      <c r="H1803" s="562"/>
      <c r="I1803" s="562"/>
      <c r="J1803" s="563"/>
    </row>
    <row r="1804" spans="2:10" ht="12.75">
      <c r="B1804" s="603"/>
      <c r="C1804" s="1186"/>
      <c r="D1804" s="562"/>
      <c r="E1804" s="562"/>
      <c r="F1804" s="562"/>
      <c r="G1804" s="562"/>
      <c r="H1804" s="562"/>
      <c r="I1804" s="562"/>
      <c r="J1804" s="563"/>
    </row>
    <row r="1805" spans="2:10" ht="12.75">
      <c r="B1805" s="603"/>
      <c r="C1805" s="1186"/>
      <c r="D1805" s="562"/>
      <c r="E1805" s="562"/>
      <c r="F1805" s="562"/>
      <c r="G1805" s="562"/>
      <c r="H1805" s="562"/>
      <c r="I1805" s="562"/>
      <c r="J1805" s="563"/>
    </row>
    <row r="1806" spans="2:10" ht="12.75">
      <c r="B1806" s="603"/>
      <c r="C1806" s="1186"/>
      <c r="D1806" s="562"/>
      <c r="E1806" s="562"/>
      <c r="F1806" s="562"/>
      <c r="G1806" s="562"/>
      <c r="H1806" s="562"/>
      <c r="I1806" s="562"/>
      <c r="J1806" s="563"/>
    </row>
    <row r="1807" spans="2:10" ht="12.75">
      <c r="B1807" s="603"/>
      <c r="C1807" s="1186"/>
      <c r="D1807" s="562"/>
      <c r="E1807" s="562"/>
      <c r="F1807" s="562"/>
      <c r="G1807" s="562"/>
      <c r="H1807" s="562"/>
      <c r="I1807" s="562"/>
      <c r="J1807" s="563"/>
    </row>
    <row r="1808" spans="2:10" ht="12.75">
      <c r="B1808" s="603"/>
      <c r="C1808" s="1186"/>
      <c r="D1808" s="562"/>
      <c r="E1808" s="562"/>
      <c r="F1808" s="562"/>
      <c r="G1808" s="562"/>
      <c r="H1808" s="562"/>
      <c r="I1808" s="562"/>
      <c r="J1808" s="563"/>
    </row>
    <row r="1809" spans="2:10" ht="12.75">
      <c r="B1809" s="603"/>
      <c r="C1809" s="1186"/>
      <c r="D1809" s="562"/>
      <c r="E1809" s="562"/>
      <c r="F1809" s="562"/>
      <c r="G1809" s="562"/>
      <c r="H1809" s="562"/>
      <c r="I1809" s="562"/>
      <c r="J1809" s="563"/>
    </row>
    <row r="1810" spans="2:10" ht="12.75">
      <c r="B1810" s="603"/>
      <c r="C1810" s="1186"/>
      <c r="D1810" s="562"/>
      <c r="E1810" s="562"/>
      <c r="F1810" s="562"/>
      <c r="G1810" s="562"/>
      <c r="H1810" s="562"/>
      <c r="I1810" s="562"/>
      <c r="J1810" s="563"/>
    </row>
    <row r="1811" spans="2:10" ht="12.75">
      <c r="B1811" s="603"/>
      <c r="C1811" s="1186"/>
      <c r="D1811" s="562"/>
      <c r="E1811" s="562"/>
      <c r="F1811" s="562"/>
      <c r="G1811" s="562"/>
      <c r="H1811" s="562"/>
      <c r="I1811" s="562"/>
      <c r="J1811" s="563"/>
    </row>
    <row r="1812" spans="2:10" ht="12.75">
      <c r="B1812" s="603"/>
      <c r="C1812" s="1186"/>
      <c r="D1812" s="562"/>
      <c r="E1812" s="562"/>
      <c r="F1812" s="562"/>
      <c r="G1812" s="562"/>
      <c r="H1812" s="562"/>
      <c r="I1812" s="562"/>
      <c r="J1812" s="563"/>
    </row>
    <row r="1813" spans="2:10" ht="12.75">
      <c r="B1813" s="603"/>
      <c r="C1813" s="1186"/>
      <c r="D1813" s="562"/>
      <c r="E1813" s="562"/>
      <c r="F1813" s="562"/>
      <c r="G1813" s="562"/>
      <c r="H1813" s="562"/>
      <c r="I1813" s="562"/>
      <c r="J1813" s="563"/>
    </row>
    <row r="1814" spans="2:10" ht="12.75">
      <c r="B1814" s="603"/>
      <c r="C1814" s="1186"/>
      <c r="D1814" s="562"/>
      <c r="E1814" s="562"/>
      <c r="F1814" s="562"/>
      <c r="G1814" s="562"/>
      <c r="H1814" s="562"/>
      <c r="I1814" s="562"/>
      <c r="J1814" s="563"/>
    </row>
    <row r="1815" spans="2:10" ht="12.75">
      <c r="B1815" s="603"/>
      <c r="C1815" s="1186"/>
      <c r="D1815" s="562"/>
      <c r="E1815" s="562"/>
      <c r="F1815" s="562"/>
      <c r="G1815" s="562"/>
      <c r="H1815" s="562"/>
      <c r="I1815" s="562"/>
      <c r="J1815" s="563"/>
    </row>
    <row r="1816" spans="2:10" ht="12.75">
      <c r="B1816" s="603"/>
      <c r="C1816" s="1186"/>
      <c r="D1816" s="562"/>
      <c r="E1816" s="562"/>
      <c r="F1816" s="562"/>
      <c r="G1816" s="562"/>
      <c r="H1816" s="562"/>
      <c r="I1816" s="562"/>
      <c r="J1816" s="563"/>
    </row>
    <row r="1817" spans="2:10" ht="12.75">
      <c r="B1817" s="603"/>
      <c r="C1817" s="1186"/>
      <c r="D1817" s="562"/>
      <c r="E1817" s="562"/>
      <c r="F1817" s="562"/>
      <c r="G1817" s="562"/>
      <c r="H1817" s="562"/>
      <c r="I1817" s="562"/>
      <c r="J1817" s="563"/>
    </row>
    <row r="1818" spans="2:10" ht="12.75">
      <c r="B1818" s="603"/>
      <c r="C1818" s="1186"/>
      <c r="D1818" s="562"/>
      <c r="E1818" s="562"/>
      <c r="F1818" s="562"/>
      <c r="G1818" s="562"/>
      <c r="H1818" s="562"/>
      <c r="I1818" s="562"/>
      <c r="J1818" s="563"/>
    </row>
    <row r="1819" spans="2:10" ht="12.75">
      <c r="B1819" s="603"/>
      <c r="C1819" s="1186"/>
      <c r="D1819" s="562"/>
      <c r="E1819" s="562"/>
      <c r="F1819" s="562"/>
      <c r="G1819" s="562"/>
      <c r="H1819" s="562"/>
      <c r="I1819" s="562"/>
      <c r="J1819" s="563"/>
    </row>
    <row r="1820" spans="2:10" ht="12.75">
      <c r="B1820" s="603"/>
      <c r="C1820" s="1186"/>
      <c r="D1820" s="562"/>
      <c r="E1820" s="562"/>
      <c r="F1820" s="562"/>
      <c r="G1820" s="562"/>
      <c r="H1820" s="562"/>
      <c r="I1820" s="562"/>
      <c r="J1820" s="563"/>
    </row>
    <row r="1821" spans="2:10" ht="12.75">
      <c r="B1821" s="603"/>
      <c r="C1821" s="1186"/>
      <c r="D1821" s="562"/>
      <c r="E1821" s="562"/>
      <c r="F1821" s="562"/>
      <c r="G1821" s="562"/>
      <c r="H1821" s="562"/>
      <c r="I1821" s="562"/>
      <c r="J1821" s="563"/>
    </row>
    <row r="1822" spans="2:10" ht="12.75">
      <c r="B1822" s="603"/>
      <c r="C1822" s="1186"/>
      <c r="D1822" s="562"/>
      <c r="E1822" s="562"/>
      <c r="F1822" s="562"/>
      <c r="G1822" s="562"/>
      <c r="H1822" s="562"/>
      <c r="I1822" s="562"/>
      <c r="J1822" s="563"/>
    </row>
    <row r="1823" spans="2:10" ht="12.75">
      <c r="B1823" s="603"/>
      <c r="C1823" s="1186"/>
      <c r="D1823" s="562"/>
      <c r="E1823" s="562"/>
      <c r="F1823" s="562"/>
      <c r="G1823" s="562"/>
      <c r="H1823" s="562"/>
      <c r="I1823" s="562"/>
      <c r="J1823" s="563"/>
    </row>
    <row r="1824" spans="2:10" ht="12.75">
      <c r="B1824" s="603"/>
      <c r="C1824" s="1186"/>
      <c r="D1824" s="562"/>
      <c r="E1824" s="562"/>
      <c r="F1824" s="562"/>
      <c r="G1824" s="562"/>
      <c r="H1824" s="562"/>
      <c r="I1824" s="562"/>
      <c r="J1824" s="563"/>
    </row>
    <row r="1825" spans="2:10" ht="12.75">
      <c r="B1825" s="603"/>
      <c r="C1825" s="1186"/>
      <c r="D1825" s="562"/>
      <c r="E1825" s="562"/>
      <c r="F1825" s="562"/>
      <c r="G1825" s="562"/>
      <c r="H1825" s="562"/>
      <c r="I1825" s="562"/>
      <c r="J1825" s="563"/>
    </row>
    <row r="1826" spans="2:10" ht="12.75">
      <c r="B1826" s="603"/>
      <c r="C1826" s="1186"/>
      <c r="D1826" s="562"/>
      <c r="E1826" s="562"/>
      <c r="F1826" s="562"/>
      <c r="G1826" s="562"/>
      <c r="H1826" s="562"/>
      <c r="I1826" s="562"/>
      <c r="J1826" s="563"/>
    </row>
    <row r="1827" spans="2:10" ht="12.75">
      <c r="B1827" s="603"/>
      <c r="C1827" s="1186"/>
      <c r="D1827" s="562"/>
      <c r="E1827" s="562"/>
      <c r="F1827" s="562"/>
      <c r="G1827" s="562"/>
      <c r="H1827" s="562"/>
      <c r="I1827" s="562"/>
      <c r="J1827" s="563"/>
    </row>
    <row r="1828" spans="2:10" ht="12.75">
      <c r="B1828" s="603"/>
      <c r="C1828" s="1186"/>
      <c r="D1828" s="562"/>
      <c r="E1828" s="562"/>
      <c r="F1828" s="562"/>
      <c r="G1828" s="562"/>
      <c r="H1828" s="562"/>
      <c r="I1828" s="562"/>
      <c r="J1828" s="563"/>
    </row>
    <row r="1829" spans="2:10" ht="12.75">
      <c r="B1829" s="603"/>
      <c r="C1829" s="1186"/>
      <c r="D1829" s="562"/>
      <c r="E1829" s="562"/>
      <c r="F1829" s="562"/>
      <c r="G1829" s="562"/>
      <c r="H1829" s="562"/>
      <c r="I1829" s="562"/>
      <c r="J1829" s="563"/>
    </row>
    <row r="1830" spans="2:10" ht="12.75">
      <c r="B1830" s="603"/>
      <c r="C1830" s="1186"/>
      <c r="D1830" s="562"/>
      <c r="E1830" s="562"/>
      <c r="F1830" s="562"/>
      <c r="G1830" s="562"/>
      <c r="H1830" s="562"/>
      <c r="I1830" s="562"/>
      <c r="J1830" s="563"/>
    </row>
    <row r="1831" spans="2:10" ht="12.75">
      <c r="B1831" s="603"/>
      <c r="C1831" s="1186"/>
      <c r="D1831" s="562"/>
      <c r="E1831" s="562"/>
      <c r="F1831" s="562"/>
      <c r="G1831" s="562"/>
      <c r="H1831" s="562"/>
      <c r="I1831" s="562"/>
      <c r="J1831" s="563"/>
    </row>
    <row r="1832" spans="2:10" ht="12.75">
      <c r="B1832" s="603"/>
      <c r="C1832" s="1186"/>
      <c r="D1832" s="562"/>
      <c r="E1832" s="562"/>
      <c r="F1832" s="562"/>
      <c r="G1832" s="562"/>
      <c r="H1832" s="562"/>
      <c r="I1832" s="562"/>
      <c r="J1832" s="563"/>
    </row>
    <row r="1833" spans="2:10" ht="12.75">
      <c r="B1833" s="603"/>
      <c r="C1833" s="1186"/>
      <c r="D1833" s="562"/>
      <c r="E1833" s="562"/>
      <c r="F1833" s="562"/>
      <c r="G1833" s="562"/>
      <c r="H1833" s="562"/>
      <c r="I1833" s="562"/>
      <c r="J1833" s="563"/>
    </row>
    <row r="1834" spans="2:10" ht="12.75">
      <c r="B1834" s="603"/>
      <c r="C1834" s="1186"/>
      <c r="D1834" s="562"/>
      <c r="E1834" s="562"/>
      <c r="F1834" s="562"/>
      <c r="G1834" s="562"/>
      <c r="H1834" s="562"/>
      <c r="I1834" s="562"/>
      <c r="J1834" s="563"/>
    </row>
    <row r="1835" spans="2:10" ht="12.75">
      <c r="B1835" s="603"/>
      <c r="C1835" s="1186"/>
      <c r="D1835" s="562"/>
      <c r="E1835" s="562"/>
      <c r="F1835" s="562"/>
      <c r="G1835" s="562"/>
      <c r="H1835" s="562"/>
      <c r="I1835" s="562"/>
      <c r="J1835" s="563"/>
    </row>
    <row r="1836" spans="2:10" ht="12.75">
      <c r="B1836" s="603"/>
      <c r="C1836" s="1186"/>
      <c r="D1836" s="562"/>
      <c r="E1836" s="562"/>
      <c r="F1836" s="562"/>
      <c r="G1836" s="562"/>
      <c r="H1836" s="562"/>
      <c r="I1836" s="562"/>
      <c r="J1836" s="563"/>
    </row>
    <row r="1837" spans="2:10" ht="12.75">
      <c r="B1837" s="603"/>
      <c r="C1837" s="1186"/>
      <c r="D1837" s="562"/>
      <c r="E1837" s="562"/>
      <c r="F1837" s="562"/>
      <c r="G1837" s="562"/>
      <c r="H1837" s="562"/>
      <c r="I1837" s="562"/>
      <c r="J1837" s="563"/>
    </row>
    <row r="1838" spans="2:10" ht="12.75">
      <c r="B1838" s="603"/>
      <c r="C1838" s="1186"/>
      <c r="D1838" s="562"/>
      <c r="E1838" s="562"/>
      <c r="F1838" s="562"/>
      <c r="G1838" s="562"/>
      <c r="H1838" s="562"/>
      <c r="I1838" s="562"/>
      <c r="J1838" s="563"/>
    </row>
    <row r="1839" spans="2:10" ht="12.75">
      <c r="B1839" s="603"/>
      <c r="C1839" s="1186"/>
      <c r="D1839" s="562"/>
      <c r="E1839" s="562"/>
      <c r="F1839" s="562"/>
      <c r="G1839" s="562"/>
      <c r="H1839" s="562"/>
      <c r="I1839" s="562"/>
      <c r="J1839" s="563"/>
    </row>
    <row r="1840" spans="2:10" ht="12.75">
      <c r="B1840" s="603"/>
      <c r="C1840" s="1186"/>
      <c r="D1840" s="562"/>
      <c r="E1840" s="562"/>
      <c r="F1840" s="562"/>
      <c r="G1840" s="562"/>
      <c r="H1840" s="562"/>
      <c r="I1840" s="562"/>
      <c r="J1840" s="563"/>
    </row>
    <row r="1841" spans="2:10" ht="12.75">
      <c r="B1841" s="603"/>
      <c r="C1841" s="1186"/>
      <c r="D1841" s="562"/>
      <c r="E1841" s="562"/>
      <c r="F1841" s="562"/>
      <c r="G1841" s="562"/>
      <c r="H1841" s="562"/>
      <c r="I1841" s="562"/>
      <c r="J1841" s="563"/>
    </row>
    <row r="1842" spans="2:10" ht="12.75">
      <c r="B1842" s="603"/>
      <c r="C1842" s="1186"/>
      <c r="D1842" s="562"/>
      <c r="E1842" s="562"/>
      <c r="F1842" s="562"/>
      <c r="G1842" s="562"/>
      <c r="H1842" s="562"/>
      <c r="I1842" s="562"/>
      <c r="J1842" s="563"/>
    </row>
    <row r="1843" spans="2:10" ht="12.75">
      <c r="B1843" s="603"/>
      <c r="C1843" s="1186"/>
      <c r="D1843" s="562"/>
      <c r="E1843" s="562"/>
      <c r="F1843" s="562"/>
      <c r="G1843" s="562"/>
      <c r="H1843" s="562"/>
      <c r="I1843" s="562"/>
      <c r="J1843" s="563"/>
    </row>
    <row r="1844" spans="2:10" ht="12.75">
      <c r="B1844" s="603"/>
      <c r="C1844" s="1186"/>
      <c r="D1844" s="562"/>
      <c r="E1844" s="562"/>
      <c r="F1844" s="562"/>
      <c r="G1844" s="562"/>
      <c r="H1844" s="562"/>
      <c r="I1844" s="562"/>
      <c r="J1844" s="563"/>
    </row>
    <row r="1845" spans="2:10" ht="12.75">
      <c r="B1845" s="603"/>
      <c r="C1845" s="1186"/>
      <c r="D1845" s="562"/>
      <c r="E1845" s="562"/>
      <c r="F1845" s="562"/>
      <c r="G1845" s="562"/>
      <c r="H1845" s="562"/>
      <c r="I1845" s="562"/>
      <c r="J1845" s="563"/>
    </row>
    <row r="1846" spans="2:10" ht="12.75">
      <c r="B1846" s="603"/>
      <c r="C1846" s="1186"/>
      <c r="D1846" s="562"/>
      <c r="E1846" s="562"/>
      <c r="F1846" s="562"/>
      <c r="G1846" s="562"/>
      <c r="H1846" s="562"/>
      <c r="I1846" s="562"/>
      <c r="J1846" s="563"/>
    </row>
    <row r="1847" spans="2:10" ht="12.75">
      <c r="B1847" s="603"/>
      <c r="C1847" s="1186"/>
      <c r="D1847" s="562"/>
      <c r="E1847" s="562"/>
      <c r="F1847" s="562"/>
      <c r="G1847" s="562"/>
      <c r="H1847" s="562"/>
      <c r="I1847" s="562"/>
      <c r="J1847" s="563"/>
    </row>
    <row r="1848" spans="2:10" ht="12.75">
      <c r="B1848" s="603"/>
      <c r="C1848" s="1186"/>
      <c r="D1848" s="562"/>
      <c r="E1848" s="562"/>
      <c r="F1848" s="562"/>
      <c r="G1848" s="562"/>
      <c r="H1848" s="562"/>
      <c r="I1848" s="562"/>
      <c r="J1848" s="563"/>
    </row>
    <row r="1849" spans="2:10" ht="12.75">
      <c r="B1849" s="603"/>
      <c r="C1849" s="1186"/>
      <c r="D1849" s="562"/>
      <c r="E1849" s="562"/>
      <c r="F1849" s="562"/>
      <c r="G1849" s="562"/>
      <c r="H1849" s="562"/>
      <c r="I1849" s="562"/>
      <c r="J1849" s="563"/>
    </row>
    <row r="1850" spans="2:10" ht="12.75">
      <c r="B1850" s="603"/>
      <c r="C1850" s="1186"/>
      <c r="D1850" s="562"/>
      <c r="E1850" s="562"/>
      <c r="F1850" s="562"/>
      <c r="G1850" s="562"/>
      <c r="H1850" s="562"/>
      <c r="I1850" s="562"/>
      <c r="J1850" s="563"/>
    </row>
    <row r="1851" spans="2:10" ht="12.75">
      <c r="B1851" s="603"/>
      <c r="C1851" s="1186"/>
      <c r="D1851" s="562"/>
      <c r="E1851" s="562"/>
      <c r="F1851" s="562"/>
      <c r="G1851" s="562"/>
      <c r="H1851" s="562"/>
      <c r="I1851" s="562"/>
      <c r="J1851" s="563"/>
    </row>
    <row r="1852" spans="2:10" ht="12.75">
      <c r="B1852" s="603"/>
      <c r="C1852" s="1186"/>
      <c r="D1852" s="562"/>
      <c r="E1852" s="562"/>
      <c r="F1852" s="562"/>
      <c r="G1852" s="562"/>
      <c r="H1852" s="562"/>
      <c r="I1852" s="562"/>
      <c r="J1852" s="563"/>
    </row>
    <row r="1853" spans="2:10" ht="12.75">
      <c r="B1853" s="603"/>
      <c r="C1853" s="1186"/>
      <c r="D1853" s="562"/>
      <c r="E1853" s="562"/>
      <c r="F1853" s="562"/>
      <c r="G1853" s="562"/>
      <c r="H1853" s="562"/>
      <c r="I1853" s="562"/>
      <c r="J1853" s="563"/>
    </row>
    <row r="1854" spans="2:10" ht="12.75">
      <c r="B1854" s="603"/>
      <c r="C1854" s="1186"/>
      <c r="D1854" s="562"/>
      <c r="E1854" s="562"/>
      <c r="F1854" s="562"/>
      <c r="G1854" s="562"/>
      <c r="H1854" s="562"/>
      <c r="I1854" s="562"/>
      <c r="J1854" s="563"/>
    </row>
    <row r="1855" spans="2:10" ht="12.75">
      <c r="B1855" s="603"/>
      <c r="C1855" s="1186"/>
      <c r="D1855" s="562"/>
      <c r="E1855" s="562"/>
      <c r="F1855" s="562"/>
      <c r="G1855" s="562"/>
      <c r="H1855" s="562"/>
      <c r="I1855" s="562"/>
      <c r="J1855" s="563"/>
    </row>
    <row r="1856" spans="2:10" ht="12.75">
      <c r="B1856" s="603"/>
      <c r="C1856" s="1186"/>
      <c r="D1856" s="562"/>
      <c r="E1856" s="562"/>
      <c r="F1856" s="562"/>
      <c r="G1856" s="562"/>
      <c r="H1856" s="562"/>
      <c r="I1856" s="562"/>
      <c r="J1856" s="563"/>
    </row>
    <row r="1857" spans="2:10" ht="12.75">
      <c r="B1857" s="603"/>
      <c r="C1857" s="1186"/>
      <c r="D1857" s="562"/>
      <c r="E1857" s="562"/>
      <c r="F1857" s="562"/>
      <c r="G1857" s="562"/>
      <c r="H1857" s="562"/>
      <c r="I1857" s="562"/>
      <c r="J1857" s="563"/>
    </row>
    <row r="1858" spans="2:10" ht="12.75">
      <c r="B1858" s="603"/>
      <c r="C1858" s="1186"/>
      <c r="D1858" s="562"/>
      <c r="E1858" s="562"/>
      <c r="F1858" s="562"/>
      <c r="G1858" s="562"/>
      <c r="H1858" s="562"/>
      <c r="I1858" s="562"/>
      <c r="J1858" s="563"/>
    </row>
    <row r="1859" spans="2:10" ht="12.75">
      <c r="B1859" s="603"/>
      <c r="C1859" s="1186"/>
      <c r="D1859" s="562"/>
      <c r="E1859" s="562"/>
      <c r="F1859" s="562"/>
      <c r="G1859" s="562"/>
      <c r="H1859" s="562"/>
      <c r="I1859" s="562"/>
      <c r="J1859" s="563"/>
    </row>
    <row r="1860" spans="2:10" ht="12.75">
      <c r="B1860" s="603"/>
      <c r="C1860" s="1186"/>
      <c r="D1860" s="562"/>
      <c r="E1860" s="562"/>
      <c r="F1860" s="562"/>
      <c r="G1860" s="562"/>
      <c r="H1860" s="562"/>
      <c r="I1860" s="562"/>
      <c r="J1860" s="563"/>
    </row>
    <row r="1861" spans="2:10" ht="12.75">
      <c r="B1861" s="603"/>
      <c r="C1861" s="1186"/>
      <c r="D1861" s="562"/>
      <c r="E1861" s="562"/>
      <c r="F1861" s="562"/>
      <c r="G1861" s="562"/>
      <c r="H1861" s="562"/>
      <c r="I1861" s="562"/>
      <c r="J1861" s="563"/>
    </row>
    <row r="1862" spans="2:10" ht="12.75">
      <c r="B1862" s="603"/>
      <c r="C1862" s="1186"/>
      <c r="D1862" s="562"/>
      <c r="E1862" s="562"/>
      <c r="F1862" s="562"/>
      <c r="G1862" s="562"/>
      <c r="H1862" s="562"/>
      <c r="I1862" s="562"/>
      <c r="J1862" s="563"/>
    </row>
    <row r="1863" spans="2:10" ht="12.75">
      <c r="B1863" s="603"/>
      <c r="C1863" s="1186"/>
      <c r="D1863" s="562"/>
      <c r="E1863" s="562"/>
      <c r="F1863" s="562"/>
      <c r="G1863" s="562"/>
      <c r="H1863" s="562"/>
      <c r="I1863" s="562"/>
      <c r="J1863" s="563"/>
    </row>
    <row r="1864" spans="2:10" ht="12.75">
      <c r="B1864" s="603"/>
      <c r="C1864" s="1186"/>
      <c r="D1864" s="562"/>
      <c r="E1864" s="562"/>
      <c r="F1864" s="562"/>
      <c r="G1864" s="562"/>
      <c r="H1864" s="562"/>
      <c r="I1864" s="562"/>
      <c r="J1864" s="563"/>
    </row>
    <row r="1865" spans="2:10" ht="12.75">
      <c r="B1865" s="603"/>
      <c r="C1865" s="1186"/>
      <c r="D1865" s="562"/>
      <c r="E1865" s="562"/>
      <c r="F1865" s="562"/>
      <c r="G1865" s="562"/>
      <c r="H1865" s="562"/>
      <c r="I1865" s="562"/>
      <c r="J1865" s="563"/>
    </row>
    <row r="1866" spans="2:10" ht="12.75">
      <c r="B1866" s="603"/>
      <c r="C1866" s="1186"/>
      <c r="D1866" s="562"/>
      <c r="E1866" s="562"/>
      <c r="F1866" s="562"/>
      <c r="G1866" s="562"/>
      <c r="H1866" s="562"/>
      <c r="I1866" s="562"/>
      <c r="J1866" s="563"/>
    </row>
    <row r="1867" spans="2:10" ht="12.75">
      <c r="B1867" s="603"/>
      <c r="C1867" s="1186"/>
      <c r="D1867" s="562"/>
      <c r="E1867" s="562"/>
      <c r="F1867" s="562"/>
      <c r="G1867" s="562"/>
      <c r="H1867" s="562"/>
      <c r="I1867" s="562"/>
      <c r="J1867" s="563"/>
    </row>
    <row r="1868" spans="2:10" ht="12.75">
      <c r="B1868" s="603"/>
      <c r="C1868" s="1186"/>
      <c r="D1868" s="562"/>
      <c r="E1868" s="562"/>
      <c r="F1868" s="562"/>
      <c r="G1868" s="562"/>
      <c r="H1868" s="562"/>
      <c r="I1868" s="562"/>
      <c r="J1868" s="563"/>
    </row>
    <row r="1869" spans="2:10" ht="12.75">
      <c r="B1869" s="603"/>
      <c r="C1869" s="1186"/>
      <c r="D1869" s="562"/>
      <c r="E1869" s="562"/>
      <c r="F1869" s="562"/>
      <c r="G1869" s="562"/>
      <c r="H1869" s="562"/>
      <c r="I1869" s="562"/>
      <c r="J1869" s="563"/>
    </row>
    <row r="1870" spans="2:10" ht="12.75">
      <c r="B1870" s="603"/>
      <c r="C1870" s="1186"/>
      <c r="D1870" s="562"/>
      <c r="E1870" s="562"/>
      <c r="F1870" s="562"/>
      <c r="G1870" s="562"/>
      <c r="H1870" s="562"/>
      <c r="I1870" s="562"/>
      <c r="J1870" s="563"/>
    </row>
    <row r="1871" spans="2:10" ht="12.75">
      <c r="B1871" s="603"/>
      <c r="C1871" s="1186"/>
      <c r="D1871" s="562"/>
      <c r="E1871" s="562"/>
      <c r="F1871" s="562"/>
      <c r="G1871" s="562"/>
      <c r="H1871" s="562"/>
      <c r="I1871" s="562"/>
      <c r="J1871" s="563"/>
    </row>
    <row r="1872" spans="2:10" ht="12.75">
      <c r="B1872" s="603"/>
      <c r="C1872" s="1186"/>
      <c r="D1872" s="562"/>
      <c r="E1872" s="562"/>
      <c r="F1872" s="562"/>
      <c r="G1872" s="562"/>
      <c r="H1872" s="562"/>
      <c r="I1872" s="562"/>
      <c r="J1872" s="563"/>
    </row>
    <row r="1873" spans="2:10" ht="12.75">
      <c r="B1873" s="603"/>
      <c r="C1873" s="1186"/>
      <c r="D1873" s="562"/>
      <c r="E1873" s="562"/>
      <c r="F1873" s="562"/>
      <c r="G1873" s="562"/>
      <c r="H1873" s="562"/>
      <c r="I1873" s="562"/>
      <c r="J1873" s="563"/>
    </row>
    <row r="1874" spans="2:10" ht="12.75">
      <c r="B1874" s="603"/>
      <c r="C1874" s="1186"/>
      <c r="D1874" s="562"/>
      <c r="E1874" s="562"/>
      <c r="F1874" s="562"/>
      <c r="G1874" s="562"/>
      <c r="H1874" s="562"/>
      <c r="I1874" s="562"/>
      <c r="J1874" s="563"/>
    </row>
    <row r="1875" spans="2:10" ht="12.75">
      <c r="B1875" s="603"/>
      <c r="C1875" s="1186"/>
      <c r="D1875" s="562"/>
      <c r="E1875" s="562"/>
      <c r="F1875" s="562"/>
      <c r="G1875" s="562"/>
      <c r="H1875" s="562"/>
      <c r="I1875" s="562"/>
      <c r="J1875" s="563"/>
    </row>
    <row r="1876" spans="2:10" ht="12.75">
      <c r="B1876" s="603"/>
      <c r="C1876" s="1186"/>
      <c r="D1876" s="562"/>
      <c r="E1876" s="562"/>
      <c r="F1876" s="562"/>
      <c r="G1876" s="562"/>
      <c r="H1876" s="562"/>
      <c r="I1876" s="562"/>
      <c r="J1876" s="563"/>
    </row>
    <row r="1877" spans="2:10" ht="12.75">
      <c r="B1877" s="603"/>
      <c r="C1877" s="1186"/>
      <c r="D1877" s="562"/>
      <c r="E1877" s="562"/>
      <c r="F1877" s="562"/>
      <c r="G1877" s="562"/>
      <c r="H1877" s="562"/>
      <c r="I1877" s="562"/>
      <c r="J1877" s="563"/>
    </row>
    <row r="1878" spans="2:10" ht="12.75">
      <c r="B1878" s="603"/>
      <c r="C1878" s="1186"/>
      <c r="D1878" s="562"/>
      <c r="E1878" s="562"/>
      <c r="F1878" s="562"/>
      <c r="G1878" s="562"/>
      <c r="H1878" s="562"/>
      <c r="I1878" s="562"/>
      <c r="J1878" s="563"/>
    </row>
    <row r="1879" spans="2:10" ht="12.75">
      <c r="B1879" s="603"/>
      <c r="C1879" s="1186"/>
      <c r="D1879" s="562"/>
      <c r="E1879" s="562"/>
      <c r="F1879" s="562"/>
      <c r="G1879" s="562"/>
      <c r="H1879" s="562"/>
      <c r="I1879" s="562"/>
      <c r="J1879" s="563"/>
    </row>
    <row r="1880" spans="2:10" ht="12.75">
      <c r="B1880" s="603"/>
      <c r="C1880" s="1186"/>
      <c r="D1880" s="562"/>
      <c r="E1880" s="562"/>
      <c r="F1880" s="562"/>
      <c r="G1880" s="562"/>
      <c r="H1880" s="562"/>
      <c r="I1880" s="562"/>
      <c r="J1880" s="563"/>
    </row>
    <row r="1881" spans="2:10" ht="12.75">
      <c r="B1881" s="603"/>
      <c r="C1881" s="1186"/>
      <c r="D1881" s="562"/>
      <c r="E1881" s="562"/>
      <c r="F1881" s="562"/>
      <c r="G1881" s="562"/>
      <c r="H1881" s="562"/>
      <c r="I1881" s="562"/>
      <c r="J1881" s="563"/>
    </row>
    <row r="1882" spans="2:10" ht="12.75">
      <c r="B1882" s="603"/>
      <c r="C1882" s="1186"/>
      <c r="D1882" s="562"/>
      <c r="E1882" s="562"/>
      <c r="F1882" s="562"/>
      <c r="G1882" s="562"/>
      <c r="H1882" s="562"/>
      <c r="I1882" s="562"/>
      <c r="J1882" s="563"/>
    </row>
    <row r="1883" spans="2:10" ht="12.75">
      <c r="B1883" s="603"/>
      <c r="C1883" s="1186"/>
      <c r="D1883" s="562"/>
      <c r="E1883" s="562"/>
      <c r="F1883" s="562"/>
      <c r="G1883" s="562"/>
      <c r="H1883" s="562"/>
      <c r="I1883" s="562"/>
      <c r="J1883" s="563"/>
    </row>
    <row r="1884" spans="2:10" ht="12.75">
      <c r="B1884" s="603"/>
      <c r="C1884" s="1186"/>
      <c r="D1884" s="562"/>
      <c r="E1884" s="562"/>
      <c r="F1884" s="562"/>
      <c r="G1884" s="562"/>
      <c r="H1884" s="562"/>
      <c r="I1884" s="562"/>
      <c r="J1884" s="563"/>
    </row>
    <row r="1885" spans="2:10" ht="12.75">
      <c r="B1885" s="603"/>
      <c r="C1885" s="1186"/>
      <c r="D1885" s="562"/>
      <c r="E1885" s="562"/>
      <c r="F1885" s="562"/>
      <c r="G1885" s="562"/>
      <c r="H1885" s="562"/>
      <c r="I1885" s="562"/>
      <c r="J1885" s="563"/>
    </row>
    <row r="1886" spans="2:10" ht="12.75">
      <c r="B1886" s="603"/>
      <c r="C1886" s="1186"/>
      <c r="D1886" s="562"/>
      <c r="E1886" s="562"/>
      <c r="F1886" s="562"/>
      <c r="G1886" s="562"/>
      <c r="H1886" s="562"/>
      <c r="I1886" s="562"/>
      <c r="J1886" s="563"/>
    </row>
    <row r="1887" spans="2:10" ht="12.75">
      <c r="B1887" s="603"/>
      <c r="C1887" s="1186"/>
      <c r="D1887" s="562"/>
      <c r="E1887" s="562"/>
      <c r="F1887" s="562"/>
      <c r="G1887" s="562"/>
      <c r="H1887" s="562"/>
      <c r="I1887" s="562"/>
      <c r="J1887" s="563"/>
    </row>
    <row r="1888" spans="2:10" ht="12.75">
      <c r="B1888" s="603"/>
      <c r="C1888" s="1186"/>
      <c r="D1888" s="562"/>
      <c r="E1888" s="562"/>
      <c r="F1888" s="562"/>
      <c r="G1888" s="562"/>
      <c r="H1888" s="562"/>
      <c r="I1888" s="562"/>
      <c r="J1888" s="563"/>
    </row>
    <row r="1889" spans="2:10" ht="12.75">
      <c r="B1889" s="603"/>
      <c r="C1889" s="1186"/>
      <c r="D1889" s="562"/>
      <c r="E1889" s="562"/>
      <c r="F1889" s="562"/>
      <c r="G1889" s="562"/>
      <c r="H1889" s="562"/>
      <c r="I1889" s="562"/>
      <c r="J1889" s="563"/>
    </row>
    <row r="1890" spans="2:10" ht="12.75">
      <c r="B1890" s="603"/>
      <c r="C1890" s="1186"/>
      <c r="D1890" s="562"/>
      <c r="E1890" s="562"/>
      <c r="F1890" s="562"/>
      <c r="G1890" s="562"/>
      <c r="H1890" s="562"/>
      <c r="I1890" s="562"/>
      <c r="J1890" s="563"/>
    </row>
  </sheetData>
  <mergeCells count="48">
    <mergeCell ref="B19:I19"/>
    <mergeCell ref="E6:E8"/>
    <mergeCell ref="F6:F8"/>
    <mergeCell ref="G6:G8"/>
    <mergeCell ref="H6:H8"/>
    <mergeCell ref="I6:I8"/>
    <mergeCell ref="J6:J8"/>
    <mergeCell ref="K6:K8"/>
    <mergeCell ref="L6:L8"/>
    <mergeCell ref="B5:B8"/>
    <mergeCell ref="D5:D8"/>
    <mergeCell ref="E5:F5"/>
    <mergeCell ref="G5:H5"/>
    <mergeCell ref="C5:C8"/>
    <mergeCell ref="I5:M5"/>
    <mergeCell ref="M6:M8"/>
    <mergeCell ref="B49:I49"/>
    <mergeCell ref="B53:I53"/>
    <mergeCell ref="B79:I79"/>
    <mergeCell ref="B101:I101"/>
    <mergeCell ref="B125:I125"/>
    <mergeCell ref="B150:I150"/>
    <mergeCell ref="B173:I173"/>
    <mergeCell ref="B197:I197"/>
    <mergeCell ref="B227:I227"/>
    <mergeCell ref="B260:I260"/>
    <mergeCell ref="B289:I289"/>
    <mergeCell ref="B315:I315"/>
    <mergeCell ref="B339:I339"/>
    <mergeCell ref="B352:I352"/>
    <mergeCell ref="B368:I368"/>
    <mergeCell ref="B381:I381"/>
    <mergeCell ref="B523:I523"/>
    <mergeCell ref="B544:I544"/>
    <mergeCell ref="B403:I403"/>
    <mergeCell ref="B426:I426"/>
    <mergeCell ref="B441:I441"/>
    <mergeCell ref="B461:I461"/>
    <mergeCell ref="I1:M1"/>
    <mergeCell ref="B562:I562"/>
    <mergeCell ref="B2:M2"/>
    <mergeCell ref="B3:M3"/>
    <mergeCell ref="B551:I551"/>
    <mergeCell ref="B554:I554"/>
    <mergeCell ref="B558:I558"/>
    <mergeCell ref="B561:I561"/>
    <mergeCell ref="B481:I481"/>
    <mergeCell ref="B504:I504"/>
  </mergeCells>
  <printOptions horizontalCentered="1"/>
  <pageMargins left="0.1968503937007874" right="0.1968503937007874" top="0.52" bottom="0.2362204724409449" header="0.1968503937007874" footer="0.1968503937007874"/>
  <pageSetup horizontalDpi="600" verticalDpi="600" orientation="landscape" paperSize="9" scale="99" r:id="rId1"/>
  <rowBreaks count="3" manualBreakCount="3">
    <brk id="150" max="255" man="1"/>
    <brk id="533" max="12" man="1"/>
    <brk id="554" max="255" man="1"/>
  </rowBreaks>
</worksheet>
</file>

<file path=xl/worksheets/sheet4.xml><?xml version="1.0" encoding="utf-8"?>
<worksheet xmlns="http://schemas.openxmlformats.org/spreadsheetml/2006/main" xmlns:r="http://schemas.openxmlformats.org/officeDocument/2006/relationships">
  <sheetPr>
    <tabColor indexed="43"/>
  </sheetPr>
  <dimension ref="A1:M1408"/>
  <sheetViews>
    <sheetView workbookViewId="0" topLeftCell="B1">
      <selection activeCell="B1" sqref="A1:IV16384"/>
    </sheetView>
  </sheetViews>
  <sheetFormatPr defaultColWidth="9.140625" defaultRowHeight="12.75"/>
  <cols>
    <col min="1" max="1" width="0" style="52" hidden="1" customWidth="1"/>
    <col min="2" max="2" width="42.00390625" style="52" customWidth="1"/>
    <col min="3" max="3" width="35.57421875" style="52" customWidth="1"/>
    <col min="4" max="8" width="10.421875" style="53" hidden="1" customWidth="1"/>
    <col min="9" max="9" width="15.00390625" style="53" customWidth="1"/>
    <col min="10" max="10" width="11.28125" style="52" customWidth="1"/>
    <col min="11" max="11" width="13.140625" style="52" hidden="1" customWidth="1"/>
    <col min="12" max="12" width="14.57421875" style="52" hidden="1" customWidth="1"/>
    <col min="13" max="13" width="16.140625" style="52" customWidth="1"/>
    <col min="14" max="16384" width="9.140625" style="52" customWidth="1"/>
  </cols>
  <sheetData>
    <row r="1" ht="15">
      <c r="M1" s="284" t="s">
        <v>392</v>
      </c>
    </row>
    <row r="2" spans="2:13" s="51" customFormat="1" ht="17.25" customHeight="1">
      <c r="B2" s="1511" t="s">
        <v>273</v>
      </c>
      <c r="C2" s="1511"/>
      <c r="D2" s="1511"/>
      <c r="E2" s="1511"/>
      <c r="F2" s="1511"/>
      <c r="G2" s="1511"/>
      <c r="H2" s="1511"/>
      <c r="I2" s="1511"/>
      <c r="J2" s="1511"/>
      <c r="K2" s="1511"/>
      <c r="L2" s="1511"/>
      <c r="M2" s="1511"/>
    </row>
    <row r="3" spans="2:13" s="51" customFormat="1" ht="19.5" customHeight="1">
      <c r="B3" s="1511" t="s">
        <v>1466</v>
      </c>
      <c r="C3" s="1511"/>
      <c r="D3" s="1511"/>
      <c r="E3" s="1511"/>
      <c r="F3" s="1511"/>
      <c r="G3" s="1511"/>
      <c r="H3" s="1511"/>
      <c r="I3" s="1511"/>
      <c r="J3" s="1511"/>
      <c r="K3" s="1511"/>
      <c r="L3" s="1511"/>
      <c r="M3" s="1511"/>
    </row>
    <row r="4" ht="15">
      <c r="M4" s="249" t="s">
        <v>274</v>
      </c>
    </row>
    <row r="5" spans="2:13" ht="20.25" customHeight="1">
      <c r="B5" s="1512" t="s">
        <v>632</v>
      </c>
      <c r="C5" s="1515" t="s">
        <v>275</v>
      </c>
      <c r="D5" s="1518" t="s">
        <v>276</v>
      </c>
      <c r="E5" s="1521" t="s">
        <v>871</v>
      </c>
      <c r="F5" s="1521"/>
      <c r="G5" s="1521" t="s">
        <v>887</v>
      </c>
      <c r="H5" s="1521"/>
      <c r="I5" s="1522" t="s">
        <v>405</v>
      </c>
      <c r="J5" s="1525" t="s">
        <v>888</v>
      </c>
      <c r="K5" s="1525"/>
      <c r="L5" s="1525"/>
      <c r="M5" s="1526"/>
    </row>
    <row r="6" spans="2:13" ht="12.75" customHeight="1">
      <c r="B6" s="1513"/>
      <c r="C6" s="1516"/>
      <c r="D6" s="1519"/>
      <c r="E6" s="1503" t="s">
        <v>872</v>
      </c>
      <c r="F6" s="1503" t="s">
        <v>873</v>
      </c>
      <c r="G6" s="1503" t="s">
        <v>874</v>
      </c>
      <c r="H6" s="1503" t="s">
        <v>875</v>
      </c>
      <c r="I6" s="1523"/>
      <c r="J6" s="1508" t="s">
        <v>277</v>
      </c>
      <c r="K6" s="1495" t="s">
        <v>876</v>
      </c>
      <c r="L6" s="1495" t="s">
        <v>877</v>
      </c>
      <c r="M6" s="1497" t="s">
        <v>127</v>
      </c>
    </row>
    <row r="7" spans="2:13" ht="15">
      <c r="B7" s="1513"/>
      <c r="C7" s="1516"/>
      <c r="D7" s="1519"/>
      <c r="E7" s="1504"/>
      <c r="F7" s="1504"/>
      <c r="G7" s="1506"/>
      <c r="H7" s="1504"/>
      <c r="I7" s="1523"/>
      <c r="J7" s="1509"/>
      <c r="K7" s="1495"/>
      <c r="L7" s="1495"/>
      <c r="M7" s="1498"/>
    </row>
    <row r="8" spans="2:13" ht="21.75" customHeight="1">
      <c r="B8" s="1514"/>
      <c r="C8" s="1517"/>
      <c r="D8" s="1520"/>
      <c r="E8" s="1505"/>
      <c r="F8" s="1505"/>
      <c r="G8" s="1507"/>
      <c r="H8" s="1505"/>
      <c r="I8" s="1524"/>
      <c r="J8" s="1510"/>
      <c r="K8" s="1496"/>
      <c r="L8" s="1496"/>
      <c r="M8" s="1499"/>
    </row>
    <row r="9" spans="1:13" ht="27" customHeight="1">
      <c r="A9" s="52">
        <v>6</v>
      </c>
      <c r="B9" s="54" t="s">
        <v>953</v>
      </c>
      <c r="C9" s="1310" t="s">
        <v>1513</v>
      </c>
      <c r="D9" s="49"/>
      <c r="E9" s="56">
        <v>217.5</v>
      </c>
      <c r="F9" s="56">
        <v>217.5</v>
      </c>
      <c r="G9" s="57">
        <f>E9*8/12</f>
        <v>145</v>
      </c>
      <c r="H9" s="57">
        <f>F9/12*4</f>
        <v>72.5</v>
      </c>
      <c r="I9" s="58">
        <f aca="true" t="shared" si="0" ref="I9:I35">SUM(G9:H9)</f>
        <v>217.5</v>
      </c>
      <c r="J9" s="55">
        <v>11700</v>
      </c>
      <c r="K9" s="57"/>
      <c r="L9" s="57"/>
      <c r="M9" s="59">
        <f aca="true" t="shared" si="1" ref="M9:M33">J9*I9</f>
        <v>2544750</v>
      </c>
    </row>
    <row r="10" spans="1:13" ht="27" customHeight="1">
      <c r="A10" s="52">
        <v>7</v>
      </c>
      <c r="B10" s="277" t="s">
        <v>125</v>
      </c>
      <c r="C10" s="1310" t="s">
        <v>1513</v>
      </c>
      <c r="D10" s="49"/>
      <c r="E10" s="56">
        <v>64</v>
      </c>
      <c r="F10" s="56">
        <v>61</v>
      </c>
      <c r="G10" s="57">
        <f aca="true" t="shared" si="2" ref="G10:G35">E10*8/12</f>
        <v>42.666666666666664</v>
      </c>
      <c r="H10" s="57">
        <f aca="true" t="shared" si="3" ref="H10:H35">F10/12*4</f>
        <v>20.333333333333332</v>
      </c>
      <c r="I10" s="58">
        <f t="shared" si="0"/>
        <v>63</v>
      </c>
      <c r="J10" s="55">
        <v>11700</v>
      </c>
      <c r="K10" s="57"/>
      <c r="L10" s="57"/>
      <c r="M10" s="59">
        <f t="shared" si="1"/>
        <v>737100</v>
      </c>
    </row>
    <row r="11" spans="1:13" ht="27" customHeight="1">
      <c r="A11" s="52">
        <v>8</v>
      </c>
      <c r="B11" s="60" t="s">
        <v>406</v>
      </c>
      <c r="C11" s="1310" t="s">
        <v>1513</v>
      </c>
      <c r="D11" s="49"/>
      <c r="E11" s="56">
        <v>30</v>
      </c>
      <c r="F11" s="56">
        <v>30</v>
      </c>
      <c r="G11" s="57">
        <f t="shared" si="2"/>
        <v>20</v>
      </c>
      <c r="H11" s="57">
        <f t="shared" si="3"/>
        <v>10</v>
      </c>
      <c r="I11" s="58">
        <f t="shared" si="0"/>
        <v>30</v>
      </c>
      <c r="J11" s="55">
        <v>11700</v>
      </c>
      <c r="K11" s="57"/>
      <c r="L11" s="57"/>
      <c r="M11" s="59">
        <f t="shared" si="1"/>
        <v>351000</v>
      </c>
    </row>
    <row r="12" spans="1:13" ht="27" customHeight="1">
      <c r="A12" s="52">
        <v>9</v>
      </c>
      <c r="B12" s="278" t="s">
        <v>84</v>
      </c>
      <c r="C12" s="1310" t="s">
        <v>1513</v>
      </c>
      <c r="D12" s="49"/>
      <c r="E12" s="56">
        <v>47.5</v>
      </c>
      <c r="F12" s="56">
        <v>47.5</v>
      </c>
      <c r="G12" s="57">
        <f t="shared" si="2"/>
        <v>31.666666666666668</v>
      </c>
      <c r="H12" s="57">
        <f t="shared" si="3"/>
        <v>15.833333333333334</v>
      </c>
      <c r="I12" s="58">
        <f t="shared" si="0"/>
        <v>47.5</v>
      </c>
      <c r="J12" s="55">
        <v>11700</v>
      </c>
      <c r="K12" s="57"/>
      <c r="L12" s="57"/>
      <c r="M12" s="59">
        <f t="shared" si="1"/>
        <v>555750</v>
      </c>
    </row>
    <row r="13" spans="1:13" ht="27" customHeight="1">
      <c r="A13" s="52">
        <v>10</v>
      </c>
      <c r="B13" s="60" t="s">
        <v>1352</v>
      </c>
      <c r="C13" s="1310" t="s">
        <v>1513</v>
      </c>
      <c r="D13" s="49"/>
      <c r="E13" s="56">
        <v>35</v>
      </c>
      <c r="F13" s="56">
        <v>35</v>
      </c>
      <c r="G13" s="57">
        <f t="shared" si="2"/>
        <v>23.333333333333332</v>
      </c>
      <c r="H13" s="57">
        <f t="shared" si="3"/>
        <v>11.666666666666666</v>
      </c>
      <c r="I13" s="58">
        <f t="shared" si="0"/>
        <v>35</v>
      </c>
      <c r="J13" s="55">
        <v>11700</v>
      </c>
      <c r="K13" s="57"/>
      <c r="L13" s="57"/>
      <c r="M13" s="59">
        <f t="shared" si="1"/>
        <v>409500</v>
      </c>
    </row>
    <row r="14" spans="1:13" ht="27" customHeight="1">
      <c r="A14" s="52">
        <v>11</v>
      </c>
      <c r="B14" s="60" t="s">
        <v>1353</v>
      </c>
      <c r="C14" s="1310" t="s">
        <v>1513</v>
      </c>
      <c r="D14" s="49"/>
      <c r="E14" s="56">
        <v>34</v>
      </c>
      <c r="F14" s="56">
        <v>34</v>
      </c>
      <c r="G14" s="57">
        <f t="shared" si="2"/>
        <v>22.666666666666668</v>
      </c>
      <c r="H14" s="57">
        <f t="shared" si="3"/>
        <v>11.333333333333334</v>
      </c>
      <c r="I14" s="58">
        <f t="shared" si="0"/>
        <v>34</v>
      </c>
      <c r="J14" s="55">
        <v>11700</v>
      </c>
      <c r="K14" s="57"/>
      <c r="L14" s="57"/>
      <c r="M14" s="59">
        <f t="shared" si="1"/>
        <v>397800</v>
      </c>
    </row>
    <row r="15" spans="1:13" ht="30" customHeight="1">
      <c r="A15" s="52">
        <v>12</v>
      </c>
      <c r="B15" s="672" t="s">
        <v>407</v>
      </c>
      <c r="C15" s="1310" t="s">
        <v>1513</v>
      </c>
      <c r="D15" s="49"/>
      <c r="E15" s="56">
        <v>44.55</v>
      </c>
      <c r="F15" s="56">
        <v>44</v>
      </c>
      <c r="G15" s="57">
        <f t="shared" si="2"/>
        <v>29.7</v>
      </c>
      <c r="H15" s="57">
        <f t="shared" si="3"/>
        <v>14.666666666666666</v>
      </c>
      <c r="I15" s="58">
        <f t="shared" si="0"/>
        <v>44.36666666666667</v>
      </c>
      <c r="J15" s="55">
        <v>11700</v>
      </c>
      <c r="K15" s="57"/>
      <c r="L15" s="57"/>
      <c r="M15" s="59">
        <f t="shared" si="1"/>
        <v>519090</v>
      </c>
    </row>
    <row r="16" spans="1:13" ht="27" customHeight="1">
      <c r="A16" s="52">
        <v>13</v>
      </c>
      <c r="B16" s="60" t="s">
        <v>1354</v>
      </c>
      <c r="C16" s="1310" t="s">
        <v>1513</v>
      </c>
      <c r="D16" s="49"/>
      <c r="E16" s="56">
        <v>34.4</v>
      </c>
      <c r="F16" s="56">
        <v>34.4</v>
      </c>
      <c r="G16" s="57">
        <f t="shared" si="2"/>
        <v>22.933333333333334</v>
      </c>
      <c r="H16" s="57">
        <f t="shared" si="3"/>
        <v>11.466666666666667</v>
      </c>
      <c r="I16" s="58">
        <f t="shared" si="0"/>
        <v>34.4</v>
      </c>
      <c r="J16" s="55">
        <v>11700</v>
      </c>
      <c r="K16" s="57"/>
      <c r="L16" s="57"/>
      <c r="M16" s="59">
        <f t="shared" si="1"/>
        <v>402480</v>
      </c>
    </row>
    <row r="17" spans="1:13" ht="27" customHeight="1">
      <c r="A17" s="52">
        <v>14</v>
      </c>
      <c r="B17" s="60" t="s">
        <v>1355</v>
      </c>
      <c r="C17" s="1310" t="s">
        <v>1513</v>
      </c>
      <c r="D17" s="49"/>
      <c r="E17" s="56">
        <v>34.6</v>
      </c>
      <c r="F17" s="56">
        <v>34.6</v>
      </c>
      <c r="G17" s="57">
        <f t="shared" si="2"/>
        <v>23.066666666666666</v>
      </c>
      <c r="H17" s="57">
        <f t="shared" si="3"/>
        <v>11.533333333333333</v>
      </c>
      <c r="I17" s="58">
        <f t="shared" si="0"/>
        <v>34.6</v>
      </c>
      <c r="J17" s="55">
        <v>11700</v>
      </c>
      <c r="K17" s="57"/>
      <c r="L17" s="57"/>
      <c r="M17" s="59">
        <f t="shared" si="1"/>
        <v>404820</v>
      </c>
    </row>
    <row r="18" spans="1:13" ht="28.5" customHeight="1">
      <c r="A18" s="52">
        <v>15</v>
      </c>
      <c r="B18" s="277" t="s">
        <v>1542</v>
      </c>
      <c r="C18" s="1310" t="s">
        <v>1513</v>
      </c>
      <c r="D18" s="49"/>
      <c r="E18" s="56">
        <v>62.5</v>
      </c>
      <c r="F18" s="56">
        <v>62.5</v>
      </c>
      <c r="G18" s="57">
        <f t="shared" si="2"/>
        <v>41.666666666666664</v>
      </c>
      <c r="H18" s="57">
        <f t="shared" si="3"/>
        <v>20.833333333333332</v>
      </c>
      <c r="I18" s="58">
        <f t="shared" si="0"/>
        <v>62.5</v>
      </c>
      <c r="J18" s="55">
        <v>11700</v>
      </c>
      <c r="K18" s="57"/>
      <c r="L18" s="57"/>
      <c r="M18" s="59">
        <f t="shared" si="1"/>
        <v>731250</v>
      </c>
    </row>
    <row r="19" spans="1:13" ht="27" customHeight="1">
      <c r="A19" s="52">
        <v>16</v>
      </c>
      <c r="B19" s="277" t="s">
        <v>408</v>
      </c>
      <c r="C19" s="1310" t="s">
        <v>1513</v>
      </c>
      <c r="D19" s="49"/>
      <c r="E19" s="56">
        <v>53.5</v>
      </c>
      <c r="F19" s="56">
        <v>53.5</v>
      </c>
      <c r="G19" s="57">
        <f t="shared" si="2"/>
        <v>35.666666666666664</v>
      </c>
      <c r="H19" s="57">
        <f t="shared" si="3"/>
        <v>17.833333333333332</v>
      </c>
      <c r="I19" s="58">
        <f t="shared" si="0"/>
        <v>53.5</v>
      </c>
      <c r="J19" s="55">
        <v>11700</v>
      </c>
      <c r="K19" s="57"/>
      <c r="L19" s="57"/>
      <c r="M19" s="59">
        <f t="shared" si="1"/>
        <v>625950</v>
      </c>
    </row>
    <row r="20" spans="1:13" ht="27" customHeight="1">
      <c r="A20" s="52">
        <v>17</v>
      </c>
      <c r="B20" s="325" t="s">
        <v>1543</v>
      </c>
      <c r="C20" s="1310" t="s">
        <v>1513</v>
      </c>
      <c r="D20" s="49"/>
      <c r="E20" s="56">
        <v>38</v>
      </c>
      <c r="F20" s="56">
        <v>35</v>
      </c>
      <c r="G20" s="57">
        <f t="shared" si="2"/>
        <v>25.333333333333332</v>
      </c>
      <c r="H20" s="57">
        <f t="shared" si="3"/>
        <v>11.666666666666666</v>
      </c>
      <c r="I20" s="58">
        <f t="shared" si="0"/>
        <v>37</v>
      </c>
      <c r="J20" s="55">
        <v>11700</v>
      </c>
      <c r="K20" s="57"/>
      <c r="L20" s="57"/>
      <c r="M20" s="59">
        <f t="shared" si="1"/>
        <v>432900</v>
      </c>
    </row>
    <row r="21" spans="1:13" ht="31.5" customHeight="1">
      <c r="A21" s="52">
        <v>18</v>
      </c>
      <c r="B21" s="277" t="s">
        <v>459</v>
      </c>
      <c r="C21" s="1310" t="s">
        <v>1513</v>
      </c>
      <c r="D21" s="49"/>
      <c r="E21" s="56">
        <v>51.4</v>
      </c>
      <c r="F21" s="56">
        <v>51.4</v>
      </c>
      <c r="G21" s="57">
        <f t="shared" si="2"/>
        <v>34.266666666666666</v>
      </c>
      <c r="H21" s="57">
        <f t="shared" si="3"/>
        <v>17.133333333333333</v>
      </c>
      <c r="I21" s="58">
        <f t="shared" si="0"/>
        <v>51.4</v>
      </c>
      <c r="J21" s="55">
        <v>11700</v>
      </c>
      <c r="K21" s="57"/>
      <c r="L21" s="57"/>
      <c r="M21" s="59">
        <f t="shared" si="1"/>
        <v>601380</v>
      </c>
    </row>
    <row r="22" spans="1:13" ht="27" customHeight="1">
      <c r="A22" s="52">
        <v>19</v>
      </c>
      <c r="B22" s="278" t="s">
        <v>1410</v>
      </c>
      <c r="C22" s="1310" t="s">
        <v>1513</v>
      </c>
      <c r="D22" s="49"/>
      <c r="E22" s="56">
        <v>74</v>
      </c>
      <c r="F22" s="56">
        <v>73</v>
      </c>
      <c r="G22" s="57">
        <f t="shared" si="2"/>
        <v>49.333333333333336</v>
      </c>
      <c r="H22" s="57">
        <f t="shared" si="3"/>
        <v>24.333333333333332</v>
      </c>
      <c r="I22" s="58">
        <f t="shared" si="0"/>
        <v>73.66666666666667</v>
      </c>
      <c r="J22" s="55">
        <v>11700</v>
      </c>
      <c r="K22" s="57"/>
      <c r="L22" s="57"/>
      <c r="M22" s="59">
        <f t="shared" si="1"/>
        <v>861900</v>
      </c>
    </row>
    <row r="23" spans="1:13" ht="27" customHeight="1">
      <c r="A23" s="52">
        <v>20</v>
      </c>
      <c r="B23" s="61" t="s">
        <v>62</v>
      </c>
      <c r="C23" s="1310" t="s">
        <v>1513</v>
      </c>
      <c r="D23" s="49"/>
      <c r="E23" s="56">
        <v>49</v>
      </c>
      <c r="F23" s="56">
        <v>45</v>
      </c>
      <c r="G23" s="57">
        <f t="shared" si="2"/>
        <v>32.666666666666664</v>
      </c>
      <c r="H23" s="57">
        <f t="shared" si="3"/>
        <v>15</v>
      </c>
      <c r="I23" s="58">
        <f t="shared" si="0"/>
        <v>47.666666666666664</v>
      </c>
      <c r="J23" s="55">
        <v>11700</v>
      </c>
      <c r="K23" s="57"/>
      <c r="L23" s="57"/>
      <c r="M23" s="59">
        <f t="shared" si="1"/>
        <v>557700</v>
      </c>
    </row>
    <row r="24" spans="1:13" ht="27" customHeight="1">
      <c r="A24" s="52">
        <v>21</v>
      </c>
      <c r="B24" s="61" t="s">
        <v>63</v>
      </c>
      <c r="C24" s="1310" t="s">
        <v>1513</v>
      </c>
      <c r="D24" s="49"/>
      <c r="E24" s="56">
        <v>43.77</v>
      </c>
      <c r="F24" s="56">
        <v>45</v>
      </c>
      <c r="G24" s="57">
        <f t="shared" si="2"/>
        <v>29.180000000000003</v>
      </c>
      <c r="H24" s="57">
        <f t="shared" si="3"/>
        <v>15</v>
      </c>
      <c r="I24" s="58">
        <f t="shared" si="0"/>
        <v>44.18000000000001</v>
      </c>
      <c r="J24" s="55">
        <v>11700</v>
      </c>
      <c r="K24" s="57"/>
      <c r="L24" s="57"/>
      <c r="M24" s="59">
        <f t="shared" si="1"/>
        <v>516906.00000000006</v>
      </c>
    </row>
    <row r="25" spans="1:13" ht="27" customHeight="1">
      <c r="A25" s="52">
        <v>22</v>
      </c>
      <c r="B25" s="325" t="s">
        <v>1483</v>
      </c>
      <c r="C25" s="1310" t="s">
        <v>1513</v>
      </c>
      <c r="D25" s="49"/>
      <c r="E25" s="56">
        <v>47.5</v>
      </c>
      <c r="F25" s="56">
        <v>48</v>
      </c>
      <c r="G25" s="57">
        <f t="shared" si="2"/>
        <v>31.666666666666668</v>
      </c>
      <c r="H25" s="57">
        <f t="shared" si="3"/>
        <v>16</v>
      </c>
      <c r="I25" s="58">
        <f t="shared" si="0"/>
        <v>47.66666666666667</v>
      </c>
      <c r="J25" s="55">
        <v>11700</v>
      </c>
      <c r="K25" s="57"/>
      <c r="L25" s="57"/>
      <c r="M25" s="59">
        <f t="shared" si="1"/>
        <v>557700</v>
      </c>
    </row>
    <row r="26" spans="1:13" ht="27" customHeight="1">
      <c r="A26" s="52">
        <v>23</v>
      </c>
      <c r="B26" s="325" t="s">
        <v>1412</v>
      </c>
      <c r="C26" s="1310" t="s">
        <v>1513</v>
      </c>
      <c r="D26" s="49"/>
      <c r="E26" s="56">
        <v>52.35</v>
      </c>
      <c r="F26" s="56">
        <v>53</v>
      </c>
      <c r="G26" s="57">
        <f t="shared" si="2"/>
        <v>34.9</v>
      </c>
      <c r="H26" s="57">
        <f t="shared" si="3"/>
        <v>17.666666666666668</v>
      </c>
      <c r="I26" s="58">
        <f t="shared" si="0"/>
        <v>52.56666666666666</v>
      </c>
      <c r="J26" s="55">
        <v>11700</v>
      </c>
      <c r="K26" s="57"/>
      <c r="L26" s="57"/>
      <c r="M26" s="59">
        <f t="shared" si="1"/>
        <v>615030</v>
      </c>
    </row>
    <row r="27" spans="1:13" ht="27" customHeight="1">
      <c r="A27" s="52">
        <v>24</v>
      </c>
      <c r="B27" s="326" t="s">
        <v>1340</v>
      </c>
      <c r="C27" s="1310" t="s">
        <v>1513</v>
      </c>
      <c r="D27" s="49"/>
      <c r="E27" s="56">
        <v>28</v>
      </c>
      <c r="F27" s="56">
        <v>28</v>
      </c>
      <c r="G27" s="57">
        <f t="shared" si="2"/>
        <v>18.666666666666668</v>
      </c>
      <c r="H27" s="57">
        <f t="shared" si="3"/>
        <v>9.333333333333334</v>
      </c>
      <c r="I27" s="58">
        <f t="shared" si="0"/>
        <v>28</v>
      </c>
      <c r="J27" s="55">
        <v>11700</v>
      </c>
      <c r="K27" s="57"/>
      <c r="L27" s="57"/>
      <c r="M27" s="59">
        <f t="shared" si="1"/>
        <v>327600</v>
      </c>
    </row>
    <row r="28" spans="1:13" ht="27" customHeight="1">
      <c r="A28" s="52">
        <v>25</v>
      </c>
      <c r="B28" s="985" t="s">
        <v>860</v>
      </c>
      <c r="C28" s="1310" t="s">
        <v>1513</v>
      </c>
      <c r="D28" s="49"/>
      <c r="E28" s="56">
        <v>46.12</v>
      </c>
      <c r="F28" s="56">
        <v>46.12</v>
      </c>
      <c r="G28" s="57">
        <f t="shared" si="2"/>
        <v>30.746666666666666</v>
      </c>
      <c r="H28" s="57">
        <f t="shared" si="3"/>
        <v>15.373333333333333</v>
      </c>
      <c r="I28" s="58">
        <f t="shared" si="0"/>
        <v>46.12</v>
      </c>
      <c r="J28" s="55">
        <v>11700</v>
      </c>
      <c r="K28" s="57"/>
      <c r="L28" s="57"/>
      <c r="M28" s="59">
        <f t="shared" si="1"/>
        <v>539604</v>
      </c>
    </row>
    <row r="29" spans="1:13" ht="27" customHeight="1">
      <c r="A29" s="52">
        <v>26</v>
      </c>
      <c r="B29" s="277" t="s">
        <v>1485</v>
      </c>
      <c r="C29" s="1310" t="s">
        <v>1513</v>
      </c>
      <c r="D29" s="49"/>
      <c r="E29" s="56">
        <v>88.43</v>
      </c>
      <c r="F29" s="56">
        <v>89</v>
      </c>
      <c r="G29" s="57">
        <f t="shared" si="2"/>
        <v>58.95333333333334</v>
      </c>
      <c r="H29" s="57">
        <f t="shared" si="3"/>
        <v>29.666666666666668</v>
      </c>
      <c r="I29" s="58">
        <f>SUM(G29:H29)</f>
        <v>88.62</v>
      </c>
      <c r="J29" s="55">
        <v>11700</v>
      </c>
      <c r="K29" s="57"/>
      <c r="L29" s="57"/>
      <c r="M29" s="59">
        <f>J29*I29</f>
        <v>1036854</v>
      </c>
    </row>
    <row r="30" spans="1:13" ht="27" customHeight="1">
      <c r="A30" s="52">
        <v>27</v>
      </c>
      <c r="B30" s="277" t="s">
        <v>1486</v>
      </c>
      <c r="C30" s="1310" t="s">
        <v>1513</v>
      </c>
      <c r="D30" s="49"/>
      <c r="E30" s="56">
        <v>48</v>
      </c>
      <c r="F30" s="56">
        <v>47</v>
      </c>
      <c r="G30" s="57">
        <f t="shared" si="2"/>
        <v>32</v>
      </c>
      <c r="H30" s="57">
        <f t="shared" si="3"/>
        <v>15.666666666666666</v>
      </c>
      <c r="I30" s="58">
        <f>SUM(G30:H30)+0.016663</f>
        <v>47.683329666666666</v>
      </c>
      <c r="J30" s="55">
        <v>11700</v>
      </c>
      <c r="K30" s="57"/>
      <c r="L30" s="57"/>
      <c r="M30" s="59">
        <f t="shared" si="1"/>
        <v>557894.9571</v>
      </c>
    </row>
    <row r="31" spans="1:13" ht="27" customHeight="1">
      <c r="A31" s="52">
        <v>28</v>
      </c>
      <c r="B31" s="277" t="s">
        <v>126</v>
      </c>
      <c r="C31" s="1310" t="s">
        <v>1513</v>
      </c>
      <c r="D31" s="49"/>
      <c r="E31" s="56">
        <v>76</v>
      </c>
      <c r="F31" s="56">
        <v>76</v>
      </c>
      <c r="G31" s="57">
        <f t="shared" si="2"/>
        <v>50.666666666666664</v>
      </c>
      <c r="H31" s="57">
        <f t="shared" si="3"/>
        <v>25.333333333333332</v>
      </c>
      <c r="I31" s="58">
        <f t="shared" si="0"/>
        <v>76</v>
      </c>
      <c r="J31" s="55">
        <v>11700</v>
      </c>
      <c r="K31" s="57"/>
      <c r="L31" s="57"/>
      <c r="M31" s="59">
        <f t="shared" si="1"/>
        <v>889200</v>
      </c>
    </row>
    <row r="32" spans="1:13" ht="27" customHeight="1">
      <c r="A32" s="52">
        <v>29</v>
      </c>
      <c r="B32" s="325" t="s">
        <v>451</v>
      </c>
      <c r="C32" s="1310" t="s">
        <v>1513</v>
      </c>
      <c r="D32" s="49"/>
      <c r="E32" s="56">
        <v>56.73</v>
      </c>
      <c r="F32" s="56">
        <v>57.73</v>
      </c>
      <c r="G32" s="57">
        <f t="shared" si="2"/>
        <v>37.82</v>
      </c>
      <c r="H32" s="57">
        <f t="shared" si="3"/>
        <v>19.243333333333332</v>
      </c>
      <c r="I32" s="58">
        <f t="shared" si="0"/>
        <v>57.06333333333333</v>
      </c>
      <c r="J32" s="55">
        <v>11700</v>
      </c>
      <c r="K32" s="57"/>
      <c r="L32" s="57"/>
      <c r="M32" s="59">
        <f t="shared" si="1"/>
        <v>667641</v>
      </c>
    </row>
    <row r="33" spans="1:13" ht="27" customHeight="1">
      <c r="A33" s="52">
        <v>30</v>
      </c>
      <c r="B33" s="325" t="s">
        <v>452</v>
      </c>
      <c r="C33" s="1310" t="s">
        <v>1513</v>
      </c>
      <c r="D33" s="49"/>
      <c r="E33" s="56">
        <v>48.5</v>
      </c>
      <c r="F33" s="56">
        <v>48</v>
      </c>
      <c r="G33" s="57">
        <f t="shared" si="2"/>
        <v>32.333333333333336</v>
      </c>
      <c r="H33" s="57">
        <f t="shared" si="3"/>
        <v>16</v>
      </c>
      <c r="I33" s="58">
        <f>SUM(G33:H33)</f>
        <v>48.333333333333336</v>
      </c>
      <c r="J33" s="55">
        <v>11700</v>
      </c>
      <c r="K33" s="57"/>
      <c r="L33" s="57"/>
      <c r="M33" s="59">
        <f t="shared" si="1"/>
        <v>565500</v>
      </c>
    </row>
    <row r="34" spans="1:13" ht="27" customHeight="1">
      <c r="A34" s="52">
        <v>31</v>
      </c>
      <c r="B34" s="62" t="s">
        <v>64</v>
      </c>
      <c r="C34" s="1310" t="s">
        <v>1513</v>
      </c>
      <c r="D34" s="49"/>
      <c r="E34" s="56">
        <v>49.5</v>
      </c>
      <c r="F34" s="56">
        <v>48</v>
      </c>
      <c r="G34" s="57">
        <f t="shared" si="2"/>
        <v>33</v>
      </c>
      <c r="H34" s="57">
        <f t="shared" si="3"/>
        <v>16</v>
      </c>
      <c r="I34" s="58">
        <f t="shared" si="0"/>
        <v>49</v>
      </c>
      <c r="J34" s="55">
        <v>11700</v>
      </c>
      <c r="K34" s="57"/>
      <c r="L34" s="57"/>
      <c r="M34" s="59">
        <f>J34*I34</f>
        <v>573300</v>
      </c>
    </row>
    <row r="35" spans="1:13" ht="27" customHeight="1">
      <c r="A35" s="52">
        <v>33</v>
      </c>
      <c r="B35" s="986" t="s">
        <v>1</v>
      </c>
      <c r="C35" s="1311" t="s">
        <v>1513</v>
      </c>
      <c r="D35" s="64"/>
      <c r="E35" s="65">
        <v>26</v>
      </c>
      <c r="F35" s="65">
        <v>26</v>
      </c>
      <c r="G35" s="57">
        <f t="shared" si="2"/>
        <v>17.333333333333332</v>
      </c>
      <c r="H35" s="57">
        <f t="shared" si="3"/>
        <v>8.666666666666666</v>
      </c>
      <c r="I35" s="58">
        <f t="shared" si="0"/>
        <v>26</v>
      </c>
      <c r="J35" s="63">
        <v>11700</v>
      </c>
      <c r="K35" s="66"/>
      <c r="L35" s="66"/>
      <c r="M35" s="67">
        <f>J35*I35</f>
        <v>304200</v>
      </c>
    </row>
    <row r="36" spans="2:13" ht="32.25" customHeight="1">
      <c r="B36" s="1500" t="s">
        <v>889</v>
      </c>
      <c r="C36" s="1501"/>
      <c r="D36" s="1501"/>
      <c r="E36" s="1501"/>
      <c r="F36" s="1501"/>
      <c r="G36" s="1501"/>
      <c r="H36" s="1502"/>
      <c r="I36" s="972">
        <f>SUM(I9:I35)</f>
        <v>1477.3333296666663</v>
      </c>
      <c r="J36" s="68" t="s">
        <v>534</v>
      </c>
      <c r="K36" s="69"/>
      <c r="L36" s="69"/>
      <c r="M36" s="50">
        <f>SUM(M9:M35)</f>
        <v>17284799.9571</v>
      </c>
    </row>
    <row r="37" spans="1:13" ht="23.25" customHeight="1">
      <c r="A37" s="52">
        <v>33</v>
      </c>
      <c r="B37" s="79" t="s">
        <v>1414</v>
      </c>
      <c r="C37" s="77" t="s">
        <v>1515</v>
      </c>
      <c r="D37" s="68"/>
      <c r="E37" s="71">
        <v>26</v>
      </c>
      <c r="F37" s="71">
        <v>26</v>
      </c>
      <c r="G37" s="78">
        <f>E37*8/12</f>
        <v>17.333333333333332</v>
      </c>
      <c r="H37" s="78">
        <f>F37*4/12</f>
        <v>8.666666666666666</v>
      </c>
      <c r="I37" s="78">
        <f>SUM(G37:H37)</f>
        <v>26</v>
      </c>
      <c r="J37" s="77">
        <v>1020000</v>
      </c>
      <c r="K37" s="78"/>
      <c r="L37" s="78"/>
      <c r="M37" s="50">
        <f>J37*I37</f>
        <v>26520000</v>
      </c>
    </row>
    <row r="38" spans="1:13" ht="34.5" customHeight="1">
      <c r="A38" s="52">
        <v>35</v>
      </c>
      <c r="B38" s="62" t="s">
        <v>2</v>
      </c>
      <c r="C38" s="55" t="s">
        <v>1519</v>
      </c>
      <c r="D38" s="49"/>
      <c r="E38" s="49"/>
      <c r="F38" s="49"/>
      <c r="G38" s="49"/>
      <c r="H38" s="49"/>
      <c r="I38" s="70">
        <v>117</v>
      </c>
      <c r="J38" s="55">
        <v>9400</v>
      </c>
      <c r="K38" s="57"/>
      <c r="L38" s="57"/>
      <c r="M38" s="59">
        <f>J38*I38</f>
        <v>1099800</v>
      </c>
    </row>
    <row r="39" spans="1:13" ht="34.5" customHeight="1">
      <c r="A39" s="52">
        <v>36</v>
      </c>
      <c r="B39" s="277" t="s">
        <v>907</v>
      </c>
      <c r="C39" s="55" t="s">
        <v>1519</v>
      </c>
      <c r="D39" s="49"/>
      <c r="E39" s="49"/>
      <c r="F39" s="49"/>
      <c r="G39" s="49"/>
      <c r="H39" s="49"/>
      <c r="I39" s="70">
        <v>27</v>
      </c>
      <c r="J39" s="55">
        <v>9400</v>
      </c>
      <c r="K39" s="57"/>
      <c r="L39" s="57"/>
      <c r="M39" s="59">
        <f>J39*I39</f>
        <v>253800</v>
      </c>
    </row>
    <row r="40" spans="2:13" ht="26.25" customHeight="1">
      <c r="B40" s="1492" t="s">
        <v>890</v>
      </c>
      <c r="C40" s="1493"/>
      <c r="D40" s="1493"/>
      <c r="E40" s="1493"/>
      <c r="F40" s="1493"/>
      <c r="G40" s="1493"/>
      <c r="H40" s="1494"/>
      <c r="I40" s="71">
        <f>SUM(I38:I39)</f>
        <v>144</v>
      </c>
      <c r="J40" s="68" t="s">
        <v>534</v>
      </c>
      <c r="K40" s="69"/>
      <c r="L40" s="69"/>
      <c r="M40" s="50">
        <f>SUM(M38:M39)</f>
        <v>1353600</v>
      </c>
    </row>
    <row r="41" spans="2:13" ht="25.5" customHeight="1">
      <c r="B41" s="1492" t="s">
        <v>891</v>
      </c>
      <c r="C41" s="1493"/>
      <c r="D41" s="1493"/>
      <c r="E41" s="1493"/>
      <c r="F41" s="1493"/>
      <c r="G41" s="1493"/>
      <c r="H41" s="1493"/>
      <c r="I41" s="1493"/>
      <c r="J41" s="1494"/>
      <c r="K41" s="69"/>
      <c r="L41" s="69"/>
      <c r="M41" s="50">
        <f>SUM(M40,M37,M36)</f>
        <v>45158399.957100004</v>
      </c>
    </row>
    <row r="42" spans="2:12" ht="15">
      <c r="B42" s="72"/>
      <c r="C42" s="72"/>
      <c r="D42" s="73"/>
      <c r="E42" s="73"/>
      <c r="F42" s="73"/>
      <c r="G42" s="73"/>
      <c r="H42" s="73"/>
      <c r="I42" s="73"/>
      <c r="J42" s="74"/>
      <c r="K42" s="75"/>
      <c r="L42" s="75"/>
    </row>
    <row r="43" spans="2:12" ht="15">
      <c r="B43" s="72"/>
      <c r="C43" s="72"/>
      <c r="D43" s="73"/>
      <c r="E43" s="73"/>
      <c r="F43" s="73"/>
      <c r="G43" s="73"/>
      <c r="H43" s="73"/>
      <c r="I43" s="73"/>
      <c r="J43" s="74"/>
      <c r="K43" s="75"/>
      <c r="L43" s="75"/>
    </row>
    <row r="44" spans="2:12" ht="15">
      <c r="B44" s="72"/>
      <c r="C44" s="72"/>
      <c r="D44" s="73"/>
      <c r="E44" s="73"/>
      <c r="F44" s="73"/>
      <c r="G44" s="73"/>
      <c r="H44" s="73"/>
      <c r="I44" s="73"/>
      <c r="J44" s="74"/>
      <c r="K44" s="75"/>
      <c r="L44" s="75"/>
    </row>
    <row r="45" spans="2:12" ht="15">
      <c r="B45" s="72"/>
      <c r="C45" s="72"/>
      <c r="D45" s="73"/>
      <c r="E45" s="73"/>
      <c r="F45" s="73"/>
      <c r="G45" s="73"/>
      <c r="H45" s="73"/>
      <c r="I45" s="73"/>
      <c r="J45" s="74"/>
      <c r="K45" s="75"/>
      <c r="L45" s="75"/>
    </row>
    <row r="46" spans="2:12" ht="15">
      <c r="B46" s="72"/>
      <c r="C46" s="72"/>
      <c r="D46" s="73"/>
      <c r="E46" s="73"/>
      <c r="F46" s="73"/>
      <c r="G46" s="73"/>
      <c r="H46" s="73"/>
      <c r="I46" s="73"/>
      <c r="J46" s="74"/>
      <c r="K46" s="75"/>
      <c r="L46" s="75"/>
    </row>
    <row r="47" spans="2:12" ht="15">
      <c r="B47" s="72"/>
      <c r="C47" s="72"/>
      <c r="D47" s="73"/>
      <c r="E47" s="73"/>
      <c r="F47" s="73"/>
      <c r="G47" s="73"/>
      <c r="H47" s="73"/>
      <c r="I47" s="73"/>
      <c r="J47" s="74"/>
      <c r="K47" s="75"/>
      <c r="L47" s="75"/>
    </row>
    <row r="48" spans="2:12" ht="15">
      <c r="B48" s="72"/>
      <c r="C48" s="72"/>
      <c r="D48" s="73"/>
      <c r="E48" s="73"/>
      <c r="F48" s="73"/>
      <c r="G48" s="73"/>
      <c r="H48" s="73"/>
      <c r="I48" s="73"/>
      <c r="J48" s="74"/>
      <c r="K48" s="75"/>
      <c r="L48" s="75"/>
    </row>
    <row r="49" spans="2:12" ht="15">
      <c r="B49" s="72"/>
      <c r="C49" s="72"/>
      <c r="D49" s="73"/>
      <c r="E49" s="73"/>
      <c r="F49" s="73"/>
      <c r="G49" s="73"/>
      <c r="H49" s="73"/>
      <c r="I49" s="73"/>
      <c r="J49" s="74"/>
      <c r="K49" s="75"/>
      <c r="L49" s="75"/>
    </row>
    <row r="50" spans="2:12" ht="15">
      <c r="B50" s="72"/>
      <c r="C50" s="72"/>
      <c r="D50" s="73"/>
      <c r="E50" s="73"/>
      <c r="F50" s="73"/>
      <c r="G50" s="73"/>
      <c r="H50" s="73"/>
      <c r="I50" s="73"/>
      <c r="J50" s="74"/>
      <c r="K50" s="75"/>
      <c r="L50" s="75"/>
    </row>
    <row r="51" spans="2:12" ht="15">
      <c r="B51" s="72"/>
      <c r="C51" s="72"/>
      <c r="D51" s="73"/>
      <c r="E51" s="73"/>
      <c r="F51" s="73"/>
      <c r="G51" s="73"/>
      <c r="H51" s="73"/>
      <c r="I51" s="73"/>
      <c r="J51" s="74"/>
      <c r="K51" s="75"/>
      <c r="L51" s="75"/>
    </row>
    <row r="52" spans="2:12" ht="15">
      <c r="B52" s="72"/>
      <c r="C52" s="72"/>
      <c r="D52" s="73"/>
      <c r="E52" s="73"/>
      <c r="F52" s="73"/>
      <c r="G52" s="73"/>
      <c r="H52" s="73"/>
      <c r="I52" s="73"/>
      <c r="J52" s="74"/>
      <c r="K52" s="75"/>
      <c r="L52" s="75"/>
    </row>
    <row r="53" spans="2:12" ht="15">
      <c r="B53" s="72"/>
      <c r="C53" s="72"/>
      <c r="D53" s="73"/>
      <c r="E53" s="73"/>
      <c r="F53" s="73"/>
      <c r="G53" s="73"/>
      <c r="H53" s="73"/>
      <c r="I53" s="73"/>
      <c r="J53" s="74"/>
      <c r="K53" s="75"/>
      <c r="L53" s="75"/>
    </row>
    <row r="54" spans="2:12" ht="15">
      <c r="B54" s="72"/>
      <c r="C54" s="72"/>
      <c r="D54" s="73"/>
      <c r="E54" s="73"/>
      <c r="F54" s="73"/>
      <c r="G54" s="73"/>
      <c r="H54" s="73"/>
      <c r="I54" s="73"/>
      <c r="J54" s="74"/>
      <c r="K54" s="75"/>
      <c r="L54" s="75"/>
    </row>
    <row r="55" spans="2:12" ht="15">
      <c r="B55" s="72"/>
      <c r="C55" s="72"/>
      <c r="D55" s="73"/>
      <c r="E55" s="73"/>
      <c r="F55" s="73"/>
      <c r="G55" s="73"/>
      <c r="H55" s="73"/>
      <c r="I55" s="73"/>
      <c r="J55" s="74"/>
      <c r="K55" s="75"/>
      <c r="L55" s="75"/>
    </row>
    <row r="56" spans="2:12" ht="15">
      <c r="B56" s="72"/>
      <c r="C56" s="72"/>
      <c r="D56" s="73"/>
      <c r="E56" s="73"/>
      <c r="F56" s="73"/>
      <c r="G56" s="73"/>
      <c r="H56" s="73"/>
      <c r="I56" s="73"/>
      <c r="J56" s="74"/>
      <c r="K56" s="75"/>
      <c r="L56" s="75"/>
    </row>
    <row r="57" spans="2:12" ht="15">
      <c r="B57" s="72"/>
      <c r="C57" s="72"/>
      <c r="D57" s="73"/>
      <c r="E57" s="73"/>
      <c r="F57" s="73"/>
      <c r="G57" s="73"/>
      <c r="H57" s="73"/>
      <c r="I57" s="73"/>
      <c r="J57" s="74"/>
      <c r="K57" s="75"/>
      <c r="L57" s="75"/>
    </row>
    <row r="58" spans="2:12" ht="15">
      <c r="B58" s="72"/>
      <c r="C58" s="72"/>
      <c r="D58" s="73"/>
      <c r="E58" s="73"/>
      <c r="F58" s="73"/>
      <c r="G58" s="73"/>
      <c r="H58" s="73"/>
      <c r="I58" s="73"/>
      <c r="J58" s="74"/>
      <c r="K58" s="75"/>
      <c r="L58" s="75"/>
    </row>
    <row r="59" spans="2:12" ht="15">
      <c r="B59" s="72"/>
      <c r="C59" s="72"/>
      <c r="D59" s="73"/>
      <c r="E59" s="73"/>
      <c r="F59" s="73"/>
      <c r="G59" s="73"/>
      <c r="H59" s="73"/>
      <c r="I59" s="73"/>
      <c r="J59" s="74"/>
      <c r="K59" s="75"/>
      <c r="L59" s="75"/>
    </row>
    <row r="60" spans="2:12" ht="15">
      <c r="B60" s="72"/>
      <c r="C60" s="72"/>
      <c r="D60" s="73"/>
      <c r="E60" s="73"/>
      <c r="F60" s="73"/>
      <c r="G60" s="73"/>
      <c r="H60" s="73"/>
      <c r="I60" s="73"/>
      <c r="J60" s="74"/>
      <c r="K60" s="75"/>
      <c r="L60" s="75"/>
    </row>
    <row r="61" spans="2:12" ht="15">
      <c r="B61" s="72"/>
      <c r="C61" s="72"/>
      <c r="D61" s="73"/>
      <c r="E61" s="73"/>
      <c r="F61" s="73"/>
      <c r="G61" s="73"/>
      <c r="H61" s="73"/>
      <c r="I61" s="73"/>
      <c r="J61" s="74"/>
      <c r="K61" s="75"/>
      <c r="L61" s="75"/>
    </row>
    <row r="62" spans="2:12" ht="15">
      <c r="B62" s="72"/>
      <c r="C62" s="72"/>
      <c r="D62" s="73"/>
      <c r="E62" s="73"/>
      <c r="F62" s="73"/>
      <c r="G62" s="73"/>
      <c r="H62" s="73"/>
      <c r="I62" s="73"/>
      <c r="J62" s="74"/>
      <c r="K62" s="75"/>
      <c r="L62" s="75"/>
    </row>
    <row r="63" spans="2:12" ht="15">
      <c r="B63" s="72"/>
      <c r="C63" s="72"/>
      <c r="D63" s="73"/>
      <c r="E63" s="73"/>
      <c r="F63" s="73"/>
      <c r="G63" s="73"/>
      <c r="H63" s="73"/>
      <c r="I63" s="73"/>
      <c r="J63" s="74"/>
      <c r="K63" s="75"/>
      <c r="L63" s="75"/>
    </row>
    <row r="64" spans="2:12" ht="15">
      <c r="B64" s="72"/>
      <c r="C64" s="72"/>
      <c r="D64" s="73"/>
      <c r="E64" s="73"/>
      <c r="F64" s="73"/>
      <c r="G64" s="73"/>
      <c r="H64" s="73"/>
      <c r="I64" s="73"/>
      <c r="J64" s="74"/>
      <c r="K64" s="75"/>
      <c r="L64" s="75"/>
    </row>
    <row r="65" spans="2:12" ht="15">
      <c r="B65" s="72"/>
      <c r="C65" s="72"/>
      <c r="D65" s="73"/>
      <c r="E65" s="73"/>
      <c r="F65" s="73"/>
      <c r="G65" s="73"/>
      <c r="H65" s="73"/>
      <c r="I65" s="73"/>
      <c r="J65" s="74"/>
      <c r="K65" s="75"/>
      <c r="L65" s="75"/>
    </row>
    <row r="66" spans="2:12" ht="15">
      <c r="B66" s="72"/>
      <c r="C66" s="72"/>
      <c r="D66" s="73"/>
      <c r="E66" s="73"/>
      <c r="F66" s="73"/>
      <c r="G66" s="73"/>
      <c r="H66" s="73"/>
      <c r="I66" s="73"/>
      <c r="J66" s="74"/>
      <c r="K66" s="75"/>
      <c r="L66" s="75"/>
    </row>
    <row r="67" spans="2:12" ht="21" customHeight="1">
      <c r="B67" s="72"/>
      <c r="C67" s="72"/>
      <c r="D67" s="73"/>
      <c r="E67" s="73"/>
      <c r="F67" s="73"/>
      <c r="G67" s="73"/>
      <c r="H67" s="73"/>
      <c r="I67" s="73"/>
      <c r="J67" s="74"/>
      <c r="K67" s="75"/>
      <c r="L67" s="75"/>
    </row>
    <row r="68" spans="2:12" ht="15">
      <c r="B68" s="72"/>
      <c r="C68" s="72"/>
      <c r="D68" s="73"/>
      <c r="E68" s="73"/>
      <c r="F68" s="73"/>
      <c r="G68" s="73"/>
      <c r="H68" s="73"/>
      <c r="I68" s="73"/>
      <c r="J68" s="74"/>
      <c r="K68" s="75"/>
      <c r="L68" s="75"/>
    </row>
    <row r="69" spans="2:12" ht="15">
      <c r="B69" s="72"/>
      <c r="C69" s="72"/>
      <c r="D69" s="73"/>
      <c r="E69" s="73"/>
      <c r="F69" s="73"/>
      <c r="G69" s="73"/>
      <c r="H69" s="73"/>
      <c r="I69" s="73"/>
      <c r="J69" s="74"/>
      <c r="K69" s="75"/>
      <c r="L69" s="75"/>
    </row>
    <row r="70" spans="2:12" ht="15">
      <c r="B70" s="72"/>
      <c r="C70" s="72"/>
      <c r="D70" s="73"/>
      <c r="E70" s="73"/>
      <c r="F70" s="73"/>
      <c r="G70" s="73"/>
      <c r="H70" s="73"/>
      <c r="I70" s="73"/>
      <c r="J70" s="74"/>
      <c r="K70" s="75"/>
      <c r="L70" s="75"/>
    </row>
    <row r="71" spans="2:10" ht="15">
      <c r="B71" s="74"/>
      <c r="C71" s="74"/>
      <c r="D71" s="44"/>
      <c r="E71" s="44"/>
      <c r="F71" s="44"/>
      <c r="G71" s="44"/>
      <c r="H71" s="44"/>
      <c r="I71" s="44"/>
      <c r="J71" s="76"/>
    </row>
    <row r="72" spans="2:10" ht="15">
      <c r="B72" s="74"/>
      <c r="C72" s="74"/>
      <c r="D72" s="44"/>
      <c r="E72" s="44"/>
      <c r="F72" s="44"/>
      <c r="G72" s="44"/>
      <c r="H72" s="44"/>
      <c r="I72" s="44"/>
      <c r="J72" s="76"/>
    </row>
    <row r="73" spans="2:10" ht="15">
      <c r="B73" s="74"/>
      <c r="C73" s="74"/>
      <c r="D73" s="44"/>
      <c r="E73" s="44"/>
      <c r="F73" s="44"/>
      <c r="G73" s="44"/>
      <c r="H73" s="44"/>
      <c r="I73" s="44"/>
      <c r="J73" s="76"/>
    </row>
    <row r="74" spans="2:10" ht="15">
      <c r="B74" s="74"/>
      <c r="C74" s="74"/>
      <c r="D74" s="44"/>
      <c r="E74" s="44"/>
      <c r="F74" s="44"/>
      <c r="G74" s="44"/>
      <c r="H74" s="44"/>
      <c r="I74" s="44"/>
      <c r="J74" s="76"/>
    </row>
    <row r="75" spans="2:10" ht="15">
      <c r="B75" s="74"/>
      <c r="C75" s="74"/>
      <c r="D75" s="44"/>
      <c r="E75" s="44"/>
      <c r="F75" s="44"/>
      <c r="G75" s="44"/>
      <c r="H75" s="44"/>
      <c r="I75" s="44"/>
      <c r="J75" s="76"/>
    </row>
    <row r="76" spans="2:10" ht="15">
      <c r="B76" s="74"/>
      <c r="C76" s="74"/>
      <c r="D76" s="44"/>
      <c r="E76" s="44"/>
      <c r="F76" s="44"/>
      <c r="G76" s="44"/>
      <c r="H76" s="44"/>
      <c r="I76" s="44"/>
      <c r="J76" s="76"/>
    </row>
    <row r="77" spans="2:10" ht="15">
      <c r="B77" s="74"/>
      <c r="C77" s="74"/>
      <c r="D77" s="44"/>
      <c r="E77" s="44"/>
      <c r="F77" s="44"/>
      <c r="G77" s="44"/>
      <c r="H77" s="44"/>
      <c r="I77" s="44"/>
      <c r="J77" s="76"/>
    </row>
    <row r="78" spans="2:10" ht="15">
      <c r="B78" s="74"/>
      <c r="C78" s="74"/>
      <c r="D78" s="44"/>
      <c r="E78" s="44"/>
      <c r="F78" s="44"/>
      <c r="G78" s="44"/>
      <c r="H78" s="44"/>
      <c r="I78" s="44"/>
      <c r="J78" s="76"/>
    </row>
    <row r="79" spans="2:10" ht="15">
      <c r="B79" s="74"/>
      <c r="C79" s="74"/>
      <c r="D79" s="44"/>
      <c r="E79" s="44"/>
      <c r="F79" s="44"/>
      <c r="G79" s="44"/>
      <c r="H79" s="44"/>
      <c r="I79" s="44"/>
      <c r="J79" s="76"/>
    </row>
    <row r="80" spans="2:10" ht="15">
      <c r="B80" s="74"/>
      <c r="C80" s="74"/>
      <c r="D80" s="44"/>
      <c r="E80" s="44"/>
      <c r="F80" s="44"/>
      <c r="G80" s="44"/>
      <c r="H80" s="44"/>
      <c r="I80" s="44"/>
      <c r="J80" s="76"/>
    </row>
    <row r="81" spans="2:10" ht="15">
      <c r="B81" s="74"/>
      <c r="C81" s="74"/>
      <c r="D81" s="44"/>
      <c r="E81" s="44"/>
      <c r="F81" s="44"/>
      <c r="G81" s="44"/>
      <c r="H81" s="44"/>
      <c r="I81" s="44"/>
      <c r="J81" s="76"/>
    </row>
    <row r="82" spans="2:10" ht="15">
      <c r="B82" s="74"/>
      <c r="C82" s="74"/>
      <c r="D82" s="44"/>
      <c r="E82" s="44"/>
      <c r="F82" s="44"/>
      <c r="G82" s="44"/>
      <c r="H82" s="44"/>
      <c r="I82" s="44"/>
      <c r="J82" s="76"/>
    </row>
    <row r="83" spans="2:10" ht="15">
      <c r="B83" s="74"/>
      <c r="C83" s="74"/>
      <c r="D83" s="44"/>
      <c r="E83" s="44"/>
      <c r="F83" s="44"/>
      <c r="G83" s="44"/>
      <c r="H83" s="44"/>
      <c r="I83" s="44"/>
      <c r="J83" s="76"/>
    </row>
    <row r="84" spans="2:10" ht="15">
      <c r="B84" s="74"/>
      <c r="C84" s="74"/>
      <c r="D84" s="44"/>
      <c r="E84" s="44"/>
      <c r="F84" s="44"/>
      <c r="G84" s="44"/>
      <c r="H84" s="44"/>
      <c r="I84" s="44"/>
      <c r="J84" s="76"/>
    </row>
    <row r="85" spans="2:10" ht="15">
      <c r="B85" s="74"/>
      <c r="C85" s="74"/>
      <c r="D85" s="44"/>
      <c r="E85" s="44"/>
      <c r="F85" s="44"/>
      <c r="G85" s="44"/>
      <c r="H85" s="44"/>
      <c r="I85" s="44"/>
      <c r="J85" s="76"/>
    </row>
    <row r="86" spans="2:10" ht="15">
      <c r="B86" s="74"/>
      <c r="C86" s="74"/>
      <c r="D86" s="44"/>
      <c r="E86" s="44"/>
      <c r="F86" s="44"/>
      <c r="G86" s="44"/>
      <c r="H86" s="44"/>
      <c r="I86" s="44"/>
      <c r="J86" s="76"/>
    </row>
    <row r="87" spans="2:10" ht="15">
      <c r="B87" s="74"/>
      <c r="C87" s="74"/>
      <c r="D87" s="44"/>
      <c r="E87" s="44"/>
      <c r="F87" s="44"/>
      <c r="G87" s="44"/>
      <c r="H87" s="44"/>
      <c r="I87" s="44"/>
      <c r="J87" s="76"/>
    </row>
    <row r="88" spans="2:10" ht="15">
      <c r="B88" s="74"/>
      <c r="C88" s="74"/>
      <c r="D88" s="44"/>
      <c r="E88" s="44"/>
      <c r="F88" s="44"/>
      <c r="G88" s="44"/>
      <c r="H88" s="44"/>
      <c r="I88" s="44"/>
      <c r="J88" s="76"/>
    </row>
    <row r="89" spans="2:10" ht="15">
      <c r="B89" s="74"/>
      <c r="C89" s="74"/>
      <c r="D89" s="44"/>
      <c r="E89" s="44"/>
      <c r="F89" s="44"/>
      <c r="G89" s="44"/>
      <c r="H89" s="44"/>
      <c r="I89" s="44"/>
      <c r="J89" s="76"/>
    </row>
    <row r="90" spans="2:10" ht="15">
      <c r="B90" s="74"/>
      <c r="C90" s="74"/>
      <c r="D90" s="44"/>
      <c r="E90" s="44"/>
      <c r="F90" s="44"/>
      <c r="G90" s="44"/>
      <c r="H90" s="44"/>
      <c r="I90" s="44"/>
      <c r="J90" s="76"/>
    </row>
    <row r="91" spans="2:10" ht="15">
      <c r="B91" s="74"/>
      <c r="C91" s="74"/>
      <c r="D91" s="44"/>
      <c r="E91" s="44"/>
      <c r="F91" s="44"/>
      <c r="G91" s="44"/>
      <c r="H91" s="44"/>
      <c r="I91" s="44"/>
      <c r="J91" s="76"/>
    </row>
    <row r="92" spans="2:10" ht="15">
      <c r="B92" s="74"/>
      <c r="C92" s="74"/>
      <c r="D92" s="44"/>
      <c r="E92" s="44"/>
      <c r="F92" s="44"/>
      <c r="G92" s="44"/>
      <c r="H92" s="44"/>
      <c r="I92" s="44"/>
      <c r="J92" s="76"/>
    </row>
    <row r="93" spans="2:10" ht="15">
      <c r="B93" s="74"/>
      <c r="C93" s="74"/>
      <c r="D93" s="44"/>
      <c r="E93" s="44"/>
      <c r="F93" s="44"/>
      <c r="G93" s="44"/>
      <c r="H93" s="44"/>
      <c r="I93" s="44"/>
      <c r="J93" s="76"/>
    </row>
    <row r="94" spans="2:10" ht="15">
      <c r="B94" s="74"/>
      <c r="C94" s="74"/>
      <c r="D94" s="44"/>
      <c r="E94" s="44"/>
      <c r="F94" s="44"/>
      <c r="G94" s="44"/>
      <c r="H94" s="44"/>
      <c r="I94" s="44"/>
      <c r="J94" s="76"/>
    </row>
    <row r="95" spans="2:10" ht="15">
      <c r="B95" s="74"/>
      <c r="C95" s="74"/>
      <c r="D95" s="44"/>
      <c r="E95" s="44"/>
      <c r="F95" s="44"/>
      <c r="G95" s="44"/>
      <c r="H95" s="44"/>
      <c r="I95" s="44"/>
      <c r="J95" s="76"/>
    </row>
    <row r="96" spans="2:10" ht="15">
      <c r="B96" s="74"/>
      <c r="C96" s="74"/>
      <c r="D96" s="44"/>
      <c r="E96" s="44"/>
      <c r="F96" s="44"/>
      <c r="G96" s="44"/>
      <c r="H96" s="44"/>
      <c r="I96" s="44"/>
      <c r="J96" s="76"/>
    </row>
    <row r="97" spans="2:10" ht="15">
      <c r="B97" s="74"/>
      <c r="C97" s="74"/>
      <c r="D97" s="44"/>
      <c r="E97" s="44"/>
      <c r="F97" s="44"/>
      <c r="G97" s="44"/>
      <c r="H97" s="44"/>
      <c r="I97" s="44"/>
      <c r="J97" s="76"/>
    </row>
    <row r="98" spans="2:10" ht="15">
      <c r="B98" s="74"/>
      <c r="C98" s="74"/>
      <c r="D98" s="44"/>
      <c r="E98" s="44"/>
      <c r="F98" s="44"/>
      <c r="G98" s="44"/>
      <c r="H98" s="44"/>
      <c r="I98" s="44"/>
      <c r="J98" s="76"/>
    </row>
    <row r="99" spans="2:10" ht="15">
      <c r="B99" s="74"/>
      <c r="C99" s="74"/>
      <c r="D99" s="44"/>
      <c r="E99" s="44"/>
      <c r="F99" s="44"/>
      <c r="G99" s="44"/>
      <c r="H99" s="44"/>
      <c r="I99" s="44"/>
      <c r="J99" s="76"/>
    </row>
    <row r="100" spans="2:10" ht="15">
      <c r="B100" s="74"/>
      <c r="C100" s="74"/>
      <c r="D100" s="44"/>
      <c r="E100" s="44"/>
      <c r="F100" s="44"/>
      <c r="G100" s="44"/>
      <c r="H100" s="44"/>
      <c r="I100" s="44"/>
      <c r="J100" s="76"/>
    </row>
    <row r="101" spans="2:10" ht="15">
      <c r="B101" s="74"/>
      <c r="C101" s="74"/>
      <c r="D101" s="44"/>
      <c r="E101" s="44"/>
      <c r="F101" s="44"/>
      <c r="G101" s="44"/>
      <c r="H101" s="44"/>
      <c r="I101" s="44"/>
      <c r="J101" s="76"/>
    </row>
    <row r="102" spans="2:10" ht="15">
      <c r="B102" s="74"/>
      <c r="C102" s="74"/>
      <c r="D102" s="44"/>
      <c r="E102" s="44"/>
      <c r="F102" s="44"/>
      <c r="G102" s="44"/>
      <c r="H102" s="44"/>
      <c r="I102" s="44"/>
      <c r="J102" s="76"/>
    </row>
    <row r="103" spans="2:10" ht="15">
      <c r="B103" s="74"/>
      <c r="C103" s="74"/>
      <c r="D103" s="44"/>
      <c r="E103" s="44"/>
      <c r="F103" s="44"/>
      <c r="G103" s="44"/>
      <c r="H103" s="44"/>
      <c r="I103" s="44"/>
      <c r="J103" s="76"/>
    </row>
    <row r="104" spans="2:10" ht="15">
      <c r="B104" s="74"/>
      <c r="C104" s="74"/>
      <c r="D104" s="44"/>
      <c r="E104" s="44"/>
      <c r="F104" s="44"/>
      <c r="G104" s="44"/>
      <c r="H104" s="44"/>
      <c r="I104" s="44"/>
      <c r="J104" s="76"/>
    </row>
    <row r="105" spans="2:10" ht="15">
      <c r="B105" s="74"/>
      <c r="C105" s="74"/>
      <c r="D105" s="44"/>
      <c r="E105" s="44"/>
      <c r="F105" s="44"/>
      <c r="G105" s="44"/>
      <c r="H105" s="44"/>
      <c r="I105" s="44"/>
      <c r="J105" s="76"/>
    </row>
    <row r="106" spans="2:10" ht="15">
      <c r="B106" s="74"/>
      <c r="C106" s="74"/>
      <c r="D106" s="44"/>
      <c r="E106" s="44"/>
      <c r="F106" s="44"/>
      <c r="G106" s="44"/>
      <c r="H106" s="44"/>
      <c r="I106" s="44"/>
      <c r="J106" s="76"/>
    </row>
    <row r="107" spans="2:10" ht="15">
      <c r="B107" s="74"/>
      <c r="C107" s="74"/>
      <c r="D107" s="44"/>
      <c r="E107" s="44"/>
      <c r="F107" s="44"/>
      <c r="G107" s="44"/>
      <c r="H107" s="44"/>
      <c r="I107" s="44"/>
      <c r="J107" s="76"/>
    </row>
    <row r="108" spans="2:10" ht="15">
      <c r="B108" s="74"/>
      <c r="C108" s="74"/>
      <c r="D108" s="44"/>
      <c r="E108" s="44"/>
      <c r="F108" s="44"/>
      <c r="G108" s="44"/>
      <c r="H108" s="44"/>
      <c r="I108" s="44"/>
      <c r="J108" s="76"/>
    </row>
    <row r="109" spans="2:10" ht="15">
      <c r="B109" s="74"/>
      <c r="C109" s="74"/>
      <c r="D109" s="44"/>
      <c r="E109" s="44"/>
      <c r="F109" s="44"/>
      <c r="G109" s="44"/>
      <c r="H109" s="44"/>
      <c r="I109" s="44"/>
      <c r="J109" s="76"/>
    </row>
    <row r="110" spans="2:10" ht="15">
      <c r="B110" s="74"/>
      <c r="C110" s="74"/>
      <c r="D110" s="44"/>
      <c r="E110" s="44"/>
      <c r="F110" s="44"/>
      <c r="G110" s="44"/>
      <c r="H110" s="44"/>
      <c r="I110" s="44"/>
      <c r="J110" s="76"/>
    </row>
    <row r="111" spans="2:10" ht="15">
      <c r="B111" s="74"/>
      <c r="C111" s="74"/>
      <c r="D111" s="44"/>
      <c r="E111" s="44"/>
      <c r="F111" s="44"/>
      <c r="G111" s="44"/>
      <c r="H111" s="44"/>
      <c r="I111" s="44"/>
      <c r="J111" s="76"/>
    </row>
    <row r="112" spans="2:10" ht="15">
      <c r="B112" s="74"/>
      <c r="C112" s="74"/>
      <c r="D112" s="44"/>
      <c r="E112" s="44"/>
      <c r="F112" s="44"/>
      <c r="G112" s="44"/>
      <c r="H112" s="44"/>
      <c r="I112" s="44"/>
      <c r="J112" s="76"/>
    </row>
    <row r="113" spans="2:10" ht="15">
      <c r="B113" s="74"/>
      <c r="C113" s="74"/>
      <c r="D113" s="44"/>
      <c r="E113" s="44"/>
      <c r="F113" s="44"/>
      <c r="G113" s="44"/>
      <c r="H113" s="44"/>
      <c r="I113" s="44"/>
      <c r="J113" s="76"/>
    </row>
    <row r="114" spans="2:10" ht="15">
      <c r="B114" s="74"/>
      <c r="C114" s="74"/>
      <c r="D114" s="44"/>
      <c r="E114" s="44"/>
      <c r="F114" s="44"/>
      <c r="G114" s="44"/>
      <c r="H114" s="44"/>
      <c r="I114" s="44"/>
      <c r="J114" s="76"/>
    </row>
    <row r="115" spans="2:10" ht="15">
      <c r="B115" s="74"/>
      <c r="C115" s="74"/>
      <c r="D115" s="44"/>
      <c r="E115" s="44"/>
      <c r="F115" s="44"/>
      <c r="G115" s="44"/>
      <c r="H115" s="44"/>
      <c r="I115" s="44"/>
      <c r="J115" s="76"/>
    </row>
    <row r="116" spans="2:10" ht="15">
      <c r="B116" s="74"/>
      <c r="C116" s="74"/>
      <c r="D116" s="44"/>
      <c r="E116" s="44"/>
      <c r="F116" s="44"/>
      <c r="G116" s="44"/>
      <c r="H116" s="44"/>
      <c r="I116" s="44"/>
      <c r="J116" s="76"/>
    </row>
    <row r="117" spans="2:10" ht="15">
      <c r="B117" s="74"/>
      <c r="C117" s="74"/>
      <c r="D117" s="44"/>
      <c r="E117" s="44"/>
      <c r="F117" s="44"/>
      <c r="G117" s="44"/>
      <c r="H117" s="44"/>
      <c r="I117" s="44"/>
      <c r="J117" s="76"/>
    </row>
    <row r="118" spans="2:10" ht="15">
      <c r="B118" s="74"/>
      <c r="C118" s="74"/>
      <c r="D118" s="44"/>
      <c r="E118" s="44"/>
      <c r="F118" s="44"/>
      <c r="G118" s="44"/>
      <c r="H118" s="44"/>
      <c r="I118" s="44"/>
      <c r="J118" s="76"/>
    </row>
    <row r="119" spans="2:10" ht="15">
      <c r="B119" s="74"/>
      <c r="C119" s="74"/>
      <c r="D119" s="44"/>
      <c r="E119" s="44"/>
      <c r="F119" s="44"/>
      <c r="G119" s="44"/>
      <c r="H119" s="44"/>
      <c r="I119" s="44"/>
      <c r="J119" s="76"/>
    </row>
    <row r="120" spans="2:10" ht="15">
      <c r="B120" s="74"/>
      <c r="C120" s="74"/>
      <c r="D120" s="44"/>
      <c r="E120" s="44"/>
      <c r="F120" s="44"/>
      <c r="G120" s="44"/>
      <c r="H120" s="44"/>
      <c r="I120" s="44"/>
      <c r="J120" s="76"/>
    </row>
    <row r="121" spans="2:10" ht="15">
      <c r="B121" s="74"/>
      <c r="C121" s="74"/>
      <c r="D121" s="44"/>
      <c r="E121" s="44"/>
      <c r="F121" s="44"/>
      <c r="G121" s="44"/>
      <c r="H121" s="44"/>
      <c r="I121" s="44"/>
      <c r="J121" s="76"/>
    </row>
    <row r="122" spans="2:10" ht="15">
      <c r="B122" s="74"/>
      <c r="C122" s="74"/>
      <c r="D122" s="44"/>
      <c r="E122" s="44"/>
      <c r="F122" s="44"/>
      <c r="G122" s="44"/>
      <c r="H122" s="44"/>
      <c r="I122" s="44"/>
      <c r="J122" s="76"/>
    </row>
    <row r="123" spans="2:10" ht="15">
      <c r="B123" s="74"/>
      <c r="C123" s="74"/>
      <c r="D123" s="44"/>
      <c r="E123" s="44"/>
      <c r="F123" s="44"/>
      <c r="G123" s="44"/>
      <c r="H123" s="44"/>
      <c r="I123" s="44"/>
      <c r="J123" s="76"/>
    </row>
    <row r="124" spans="2:10" ht="15">
      <c r="B124" s="74"/>
      <c r="C124" s="74"/>
      <c r="D124" s="44"/>
      <c r="E124" s="44"/>
      <c r="F124" s="44"/>
      <c r="G124" s="44"/>
      <c r="H124" s="44"/>
      <c r="I124" s="44"/>
      <c r="J124" s="76"/>
    </row>
    <row r="125" spans="2:10" ht="15">
      <c r="B125" s="74"/>
      <c r="C125" s="74"/>
      <c r="D125" s="44"/>
      <c r="E125" s="44"/>
      <c r="F125" s="44"/>
      <c r="G125" s="44"/>
      <c r="H125" s="44"/>
      <c r="I125" s="44"/>
      <c r="J125" s="76"/>
    </row>
    <row r="126" spans="2:10" ht="15">
      <c r="B126" s="74"/>
      <c r="C126" s="74"/>
      <c r="D126" s="44"/>
      <c r="E126" s="44"/>
      <c r="F126" s="44"/>
      <c r="G126" s="44"/>
      <c r="H126" s="44"/>
      <c r="I126" s="44"/>
      <c r="J126" s="76"/>
    </row>
    <row r="127" spans="2:10" ht="15">
      <c r="B127" s="74"/>
      <c r="C127" s="74"/>
      <c r="D127" s="44"/>
      <c r="E127" s="44"/>
      <c r="F127" s="44"/>
      <c r="G127" s="44"/>
      <c r="H127" s="44"/>
      <c r="I127" s="44"/>
      <c r="J127" s="76"/>
    </row>
    <row r="128" spans="2:10" ht="15">
      <c r="B128" s="74"/>
      <c r="C128" s="74"/>
      <c r="D128" s="44"/>
      <c r="E128" s="44"/>
      <c r="F128" s="44"/>
      <c r="G128" s="44"/>
      <c r="H128" s="44"/>
      <c r="I128" s="44"/>
      <c r="J128" s="76"/>
    </row>
    <row r="129" spans="2:10" ht="15">
      <c r="B129" s="74"/>
      <c r="C129" s="74"/>
      <c r="D129" s="44"/>
      <c r="E129" s="44"/>
      <c r="F129" s="44"/>
      <c r="G129" s="44"/>
      <c r="H129" s="44"/>
      <c r="I129" s="44"/>
      <c r="J129" s="76"/>
    </row>
    <row r="130" spans="2:10" ht="15">
      <c r="B130" s="74"/>
      <c r="C130" s="74"/>
      <c r="D130" s="44"/>
      <c r="E130" s="44"/>
      <c r="F130" s="44"/>
      <c r="G130" s="44"/>
      <c r="H130" s="44"/>
      <c r="I130" s="44"/>
      <c r="J130" s="76"/>
    </row>
    <row r="131" spans="2:10" ht="15">
      <c r="B131" s="74"/>
      <c r="C131" s="74"/>
      <c r="D131" s="44"/>
      <c r="E131" s="44"/>
      <c r="F131" s="44"/>
      <c r="G131" s="44"/>
      <c r="H131" s="44"/>
      <c r="I131" s="44"/>
      <c r="J131" s="76"/>
    </row>
    <row r="132" spans="2:10" ht="15">
      <c r="B132" s="74"/>
      <c r="C132" s="74"/>
      <c r="D132" s="44"/>
      <c r="E132" s="44"/>
      <c r="F132" s="44"/>
      <c r="G132" s="44"/>
      <c r="H132" s="44"/>
      <c r="I132" s="44"/>
      <c r="J132" s="76"/>
    </row>
    <row r="133" spans="2:10" ht="15">
      <c r="B133" s="74"/>
      <c r="C133" s="74"/>
      <c r="D133" s="44"/>
      <c r="E133" s="44"/>
      <c r="F133" s="44"/>
      <c r="G133" s="44"/>
      <c r="H133" s="44"/>
      <c r="I133" s="44"/>
      <c r="J133" s="76"/>
    </row>
    <row r="134" spans="2:10" ht="15">
      <c r="B134" s="74"/>
      <c r="C134" s="74"/>
      <c r="D134" s="44"/>
      <c r="E134" s="44"/>
      <c r="F134" s="44"/>
      <c r="G134" s="44"/>
      <c r="H134" s="44"/>
      <c r="I134" s="44"/>
      <c r="J134" s="76"/>
    </row>
    <row r="135" spans="2:10" ht="15">
      <c r="B135" s="74"/>
      <c r="C135" s="74"/>
      <c r="D135" s="44"/>
      <c r="E135" s="44"/>
      <c r="F135" s="44"/>
      <c r="G135" s="44"/>
      <c r="H135" s="44"/>
      <c r="I135" s="44"/>
      <c r="J135" s="76"/>
    </row>
    <row r="136" spans="2:10" ht="15">
      <c r="B136" s="74"/>
      <c r="C136" s="74"/>
      <c r="D136" s="44"/>
      <c r="E136" s="44"/>
      <c r="F136" s="44"/>
      <c r="G136" s="44"/>
      <c r="H136" s="44"/>
      <c r="I136" s="44"/>
      <c r="J136" s="76"/>
    </row>
    <row r="137" spans="2:10" ht="15">
      <c r="B137" s="74"/>
      <c r="C137" s="74"/>
      <c r="D137" s="44"/>
      <c r="E137" s="44"/>
      <c r="F137" s="44"/>
      <c r="G137" s="44"/>
      <c r="H137" s="44"/>
      <c r="I137" s="44"/>
      <c r="J137" s="76"/>
    </row>
    <row r="138" spans="2:10" ht="15">
      <c r="B138" s="74"/>
      <c r="C138" s="74"/>
      <c r="D138" s="44"/>
      <c r="E138" s="44"/>
      <c r="F138" s="44"/>
      <c r="G138" s="44"/>
      <c r="H138" s="44"/>
      <c r="I138" s="44"/>
      <c r="J138" s="76"/>
    </row>
    <row r="139" spans="2:10" ht="15">
      <c r="B139" s="74"/>
      <c r="C139" s="74"/>
      <c r="D139" s="44"/>
      <c r="E139" s="44"/>
      <c r="F139" s="44"/>
      <c r="G139" s="44"/>
      <c r="H139" s="44"/>
      <c r="I139" s="44"/>
      <c r="J139" s="76"/>
    </row>
    <row r="140" spans="2:10" ht="15">
      <c r="B140" s="74"/>
      <c r="C140" s="74"/>
      <c r="D140" s="44"/>
      <c r="E140" s="44"/>
      <c r="F140" s="44"/>
      <c r="G140" s="44"/>
      <c r="H140" s="44"/>
      <c r="I140" s="44"/>
      <c r="J140" s="76"/>
    </row>
    <row r="141" spans="2:10" ht="15">
      <c r="B141" s="74"/>
      <c r="C141" s="74"/>
      <c r="D141" s="44"/>
      <c r="E141" s="44"/>
      <c r="F141" s="44"/>
      <c r="G141" s="44"/>
      <c r="H141" s="44"/>
      <c r="I141" s="44"/>
      <c r="J141" s="76"/>
    </row>
    <row r="142" spans="2:10" ht="15">
      <c r="B142" s="74"/>
      <c r="C142" s="74"/>
      <c r="D142" s="44"/>
      <c r="E142" s="44"/>
      <c r="F142" s="44"/>
      <c r="G142" s="44"/>
      <c r="H142" s="44"/>
      <c r="I142" s="44"/>
      <c r="J142" s="76"/>
    </row>
    <row r="143" spans="2:10" ht="15">
      <c r="B143" s="74"/>
      <c r="C143" s="74"/>
      <c r="D143" s="44"/>
      <c r="E143" s="44"/>
      <c r="F143" s="44"/>
      <c r="G143" s="44"/>
      <c r="H143" s="44"/>
      <c r="I143" s="44"/>
      <c r="J143" s="76"/>
    </row>
    <row r="144" spans="2:10" ht="15">
      <c r="B144" s="74"/>
      <c r="C144" s="74"/>
      <c r="D144" s="44"/>
      <c r="E144" s="44"/>
      <c r="F144" s="44"/>
      <c r="G144" s="44"/>
      <c r="H144" s="44"/>
      <c r="I144" s="44"/>
      <c r="J144" s="76"/>
    </row>
    <row r="145" spans="2:10" ht="15">
      <c r="B145" s="74"/>
      <c r="C145" s="74"/>
      <c r="D145" s="44"/>
      <c r="E145" s="44"/>
      <c r="F145" s="44"/>
      <c r="G145" s="44"/>
      <c r="H145" s="44"/>
      <c r="I145" s="44"/>
      <c r="J145" s="76"/>
    </row>
    <row r="146" spans="2:10" ht="15">
      <c r="B146" s="74"/>
      <c r="C146" s="74"/>
      <c r="D146" s="44"/>
      <c r="E146" s="44"/>
      <c r="F146" s="44"/>
      <c r="G146" s="44"/>
      <c r="H146" s="44"/>
      <c r="I146" s="44"/>
      <c r="J146" s="76"/>
    </row>
    <row r="147" spans="2:10" ht="15">
      <c r="B147" s="74"/>
      <c r="C147" s="74"/>
      <c r="D147" s="44"/>
      <c r="E147" s="44"/>
      <c r="F147" s="44"/>
      <c r="G147" s="44"/>
      <c r="H147" s="44"/>
      <c r="I147" s="44"/>
      <c r="J147" s="76"/>
    </row>
    <row r="148" spans="2:10" ht="15">
      <c r="B148" s="74"/>
      <c r="C148" s="74"/>
      <c r="D148" s="44"/>
      <c r="E148" s="44"/>
      <c r="F148" s="44"/>
      <c r="G148" s="44"/>
      <c r="H148" s="44"/>
      <c r="I148" s="44"/>
      <c r="J148" s="76"/>
    </row>
    <row r="149" spans="2:10" ht="15">
      <c r="B149" s="74"/>
      <c r="C149" s="74"/>
      <c r="D149" s="44"/>
      <c r="E149" s="44"/>
      <c r="F149" s="44"/>
      <c r="G149" s="44"/>
      <c r="H149" s="44"/>
      <c r="I149" s="44"/>
      <c r="J149" s="76"/>
    </row>
    <row r="150" spans="2:10" ht="15">
      <c r="B150" s="74"/>
      <c r="C150" s="74"/>
      <c r="D150" s="44"/>
      <c r="E150" s="44"/>
      <c r="F150" s="44"/>
      <c r="G150" s="44"/>
      <c r="H150" s="44"/>
      <c r="I150" s="44"/>
      <c r="J150" s="76"/>
    </row>
    <row r="151" spans="2:10" ht="15">
      <c r="B151" s="74"/>
      <c r="C151" s="74"/>
      <c r="D151" s="44"/>
      <c r="E151" s="44"/>
      <c r="F151" s="44"/>
      <c r="G151" s="44"/>
      <c r="H151" s="44"/>
      <c r="I151" s="44"/>
      <c r="J151" s="76"/>
    </row>
    <row r="152" spans="2:10" ht="15">
      <c r="B152" s="74"/>
      <c r="C152" s="74"/>
      <c r="D152" s="44"/>
      <c r="E152" s="44"/>
      <c r="F152" s="44"/>
      <c r="G152" s="44"/>
      <c r="H152" s="44"/>
      <c r="I152" s="44"/>
      <c r="J152" s="76"/>
    </row>
    <row r="153" spans="2:10" ht="15">
      <c r="B153" s="74"/>
      <c r="C153" s="74"/>
      <c r="D153" s="44"/>
      <c r="E153" s="44"/>
      <c r="F153" s="44"/>
      <c r="G153" s="44"/>
      <c r="H153" s="44"/>
      <c r="I153" s="44"/>
      <c r="J153" s="76"/>
    </row>
    <row r="154" spans="2:10" ht="15">
      <c r="B154" s="74"/>
      <c r="C154" s="74"/>
      <c r="D154" s="44"/>
      <c r="E154" s="44"/>
      <c r="F154" s="44"/>
      <c r="G154" s="44"/>
      <c r="H154" s="44"/>
      <c r="I154" s="44"/>
      <c r="J154" s="76"/>
    </row>
    <row r="155" spans="2:10" ht="15">
      <c r="B155" s="74"/>
      <c r="C155" s="74"/>
      <c r="D155" s="44"/>
      <c r="E155" s="44"/>
      <c r="F155" s="44"/>
      <c r="G155" s="44"/>
      <c r="H155" s="44"/>
      <c r="I155" s="44"/>
      <c r="J155" s="76"/>
    </row>
    <row r="156" spans="2:10" ht="15">
      <c r="B156" s="74"/>
      <c r="C156" s="74"/>
      <c r="D156" s="44"/>
      <c r="E156" s="44"/>
      <c r="F156" s="44"/>
      <c r="G156" s="44"/>
      <c r="H156" s="44"/>
      <c r="I156" s="44"/>
      <c r="J156" s="76"/>
    </row>
    <row r="157" spans="2:10" ht="15">
      <c r="B157" s="74"/>
      <c r="C157" s="74"/>
      <c r="D157" s="44"/>
      <c r="E157" s="44"/>
      <c r="F157" s="44"/>
      <c r="G157" s="44"/>
      <c r="H157" s="44"/>
      <c r="I157" s="44"/>
      <c r="J157" s="76"/>
    </row>
    <row r="158" spans="2:10" ht="15">
      <c r="B158" s="74"/>
      <c r="C158" s="74"/>
      <c r="D158" s="44"/>
      <c r="E158" s="44"/>
      <c r="F158" s="44"/>
      <c r="G158" s="44"/>
      <c r="H158" s="44"/>
      <c r="I158" s="44"/>
      <c r="J158" s="76"/>
    </row>
    <row r="159" spans="2:10" ht="15">
      <c r="B159" s="74"/>
      <c r="C159" s="74"/>
      <c r="D159" s="44"/>
      <c r="E159" s="44"/>
      <c r="F159" s="44"/>
      <c r="G159" s="44"/>
      <c r="H159" s="44"/>
      <c r="I159" s="44"/>
      <c r="J159" s="76"/>
    </row>
    <row r="160" spans="2:10" ht="15">
      <c r="B160" s="74"/>
      <c r="C160" s="74"/>
      <c r="D160" s="44"/>
      <c r="E160" s="44"/>
      <c r="F160" s="44"/>
      <c r="G160" s="44"/>
      <c r="H160" s="44"/>
      <c r="I160" s="44"/>
      <c r="J160" s="76"/>
    </row>
    <row r="161" spans="2:10" ht="15">
      <c r="B161" s="74"/>
      <c r="C161" s="74"/>
      <c r="D161" s="44"/>
      <c r="E161" s="44"/>
      <c r="F161" s="44"/>
      <c r="G161" s="44"/>
      <c r="H161" s="44"/>
      <c r="I161" s="44"/>
      <c r="J161" s="76"/>
    </row>
    <row r="162" spans="2:10" ht="15">
      <c r="B162" s="74"/>
      <c r="C162" s="74"/>
      <c r="D162" s="44"/>
      <c r="E162" s="44"/>
      <c r="F162" s="44"/>
      <c r="G162" s="44"/>
      <c r="H162" s="44"/>
      <c r="I162" s="44"/>
      <c r="J162" s="76"/>
    </row>
    <row r="163" spans="2:10" ht="15">
      <c r="B163" s="74"/>
      <c r="C163" s="74"/>
      <c r="D163" s="44"/>
      <c r="E163" s="44"/>
      <c r="F163" s="44"/>
      <c r="G163" s="44"/>
      <c r="H163" s="44"/>
      <c r="I163" s="44"/>
      <c r="J163" s="76"/>
    </row>
    <row r="164" spans="2:10" ht="15">
      <c r="B164" s="74"/>
      <c r="C164" s="74"/>
      <c r="D164" s="44"/>
      <c r="E164" s="44"/>
      <c r="F164" s="44"/>
      <c r="G164" s="44"/>
      <c r="H164" s="44"/>
      <c r="I164" s="44"/>
      <c r="J164" s="76"/>
    </row>
    <row r="165" spans="2:10" ht="15">
      <c r="B165" s="74"/>
      <c r="C165" s="74"/>
      <c r="D165" s="44"/>
      <c r="E165" s="44"/>
      <c r="F165" s="44"/>
      <c r="G165" s="44"/>
      <c r="H165" s="44"/>
      <c r="I165" s="44"/>
      <c r="J165" s="76"/>
    </row>
    <row r="166" spans="2:10" ht="15">
      <c r="B166" s="74"/>
      <c r="C166" s="74"/>
      <c r="D166" s="44"/>
      <c r="E166" s="44"/>
      <c r="F166" s="44"/>
      <c r="G166" s="44"/>
      <c r="H166" s="44"/>
      <c r="I166" s="44"/>
      <c r="J166" s="76"/>
    </row>
    <row r="167" spans="2:10" ht="15">
      <c r="B167" s="76"/>
      <c r="C167" s="76"/>
      <c r="D167" s="44"/>
      <c r="E167" s="44"/>
      <c r="F167" s="44"/>
      <c r="G167" s="44"/>
      <c r="H167" s="44"/>
      <c r="I167" s="44"/>
      <c r="J167" s="76"/>
    </row>
    <row r="168" spans="2:10" ht="15">
      <c r="B168" s="76"/>
      <c r="C168" s="76"/>
      <c r="D168" s="44"/>
      <c r="E168" s="44"/>
      <c r="F168" s="44"/>
      <c r="G168" s="44"/>
      <c r="H168" s="44"/>
      <c r="I168" s="44"/>
      <c r="J168" s="76"/>
    </row>
    <row r="169" spans="2:10" ht="15">
      <c r="B169" s="76"/>
      <c r="C169" s="76"/>
      <c r="D169" s="44"/>
      <c r="E169" s="44"/>
      <c r="F169" s="44"/>
      <c r="G169" s="44"/>
      <c r="H169" s="44"/>
      <c r="I169" s="44"/>
      <c r="J169" s="76"/>
    </row>
    <row r="170" spans="2:10" ht="15">
      <c r="B170" s="76"/>
      <c r="C170" s="76"/>
      <c r="D170" s="44"/>
      <c r="E170" s="44"/>
      <c r="F170" s="44"/>
      <c r="G170" s="44"/>
      <c r="H170" s="44"/>
      <c r="I170" s="44"/>
      <c r="J170" s="76"/>
    </row>
    <row r="171" spans="2:10" ht="15">
      <c r="B171" s="76"/>
      <c r="C171" s="76"/>
      <c r="D171" s="44"/>
      <c r="E171" s="44"/>
      <c r="F171" s="44"/>
      <c r="G171" s="44"/>
      <c r="H171" s="44"/>
      <c r="I171" s="44"/>
      <c r="J171" s="76"/>
    </row>
    <row r="172" spans="2:10" ht="15">
      <c r="B172" s="76"/>
      <c r="C172" s="76"/>
      <c r="D172" s="44"/>
      <c r="E172" s="44"/>
      <c r="F172" s="44"/>
      <c r="G172" s="44"/>
      <c r="H172" s="44"/>
      <c r="I172" s="44"/>
      <c r="J172" s="76"/>
    </row>
    <row r="173" spans="2:10" ht="15">
      <c r="B173" s="76"/>
      <c r="C173" s="76"/>
      <c r="D173" s="44"/>
      <c r="E173" s="44"/>
      <c r="F173" s="44"/>
      <c r="G173" s="44"/>
      <c r="H173" s="44"/>
      <c r="I173" s="44"/>
      <c r="J173" s="76"/>
    </row>
    <row r="174" spans="2:10" ht="15">
      <c r="B174" s="76"/>
      <c r="C174" s="76"/>
      <c r="D174" s="44"/>
      <c r="E174" s="44"/>
      <c r="F174" s="44"/>
      <c r="G174" s="44"/>
      <c r="H174" s="44"/>
      <c r="I174" s="44"/>
      <c r="J174" s="76"/>
    </row>
    <row r="175" spans="2:10" ht="15">
      <c r="B175" s="76"/>
      <c r="C175" s="76"/>
      <c r="D175" s="44"/>
      <c r="E175" s="44"/>
      <c r="F175" s="44"/>
      <c r="G175" s="44"/>
      <c r="H175" s="44"/>
      <c r="I175" s="44"/>
      <c r="J175" s="76"/>
    </row>
    <row r="176" spans="2:10" ht="15">
      <c r="B176" s="76"/>
      <c r="C176" s="76"/>
      <c r="D176" s="44"/>
      <c r="E176" s="44"/>
      <c r="F176" s="44"/>
      <c r="G176" s="44"/>
      <c r="H176" s="44"/>
      <c r="I176" s="44"/>
      <c r="J176" s="76"/>
    </row>
    <row r="177" spans="2:10" ht="15">
      <c r="B177" s="76"/>
      <c r="C177" s="76"/>
      <c r="D177" s="44"/>
      <c r="E177" s="44"/>
      <c r="F177" s="44"/>
      <c r="G177" s="44"/>
      <c r="H177" s="44"/>
      <c r="I177" s="44"/>
      <c r="J177" s="76"/>
    </row>
    <row r="178" spans="2:10" ht="15">
      <c r="B178" s="76"/>
      <c r="C178" s="76"/>
      <c r="D178" s="44"/>
      <c r="E178" s="44"/>
      <c r="F178" s="44"/>
      <c r="G178" s="44"/>
      <c r="H178" s="44"/>
      <c r="I178" s="44"/>
      <c r="J178" s="76"/>
    </row>
    <row r="179" spans="2:10" ht="15">
      <c r="B179" s="76"/>
      <c r="C179" s="76"/>
      <c r="D179" s="44"/>
      <c r="E179" s="44"/>
      <c r="F179" s="44"/>
      <c r="G179" s="44"/>
      <c r="H179" s="44"/>
      <c r="I179" s="44"/>
      <c r="J179" s="76"/>
    </row>
    <row r="180" spans="2:10" ht="15">
      <c r="B180" s="76"/>
      <c r="C180" s="76"/>
      <c r="D180" s="44"/>
      <c r="E180" s="44"/>
      <c r="F180" s="44"/>
      <c r="G180" s="44"/>
      <c r="H180" s="44"/>
      <c r="I180" s="44"/>
      <c r="J180" s="76"/>
    </row>
    <row r="181" spans="2:10" ht="15">
      <c r="B181" s="76"/>
      <c r="C181" s="76"/>
      <c r="D181" s="44"/>
      <c r="E181" s="44"/>
      <c r="F181" s="44"/>
      <c r="G181" s="44"/>
      <c r="H181" s="44"/>
      <c r="I181" s="44"/>
      <c r="J181" s="76"/>
    </row>
    <row r="182" spans="2:10" ht="15">
      <c r="B182" s="76"/>
      <c r="C182" s="76"/>
      <c r="D182" s="44"/>
      <c r="E182" s="44"/>
      <c r="F182" s="44"/>
      <c r="G182" s="44"/>
      <c r="H182" s="44"/>
      <c r="I182" s="44"/>
      <c r="J182" s="76"/>
    </row>
    <row r="183" spans="2:10" ht="15">
      <c r="B183" s="76"/>
      <c r="C183" s="76"/>
      <c r="D183" s="44"/>
      <c r="E183" s="44"/>
      <c r="F183" s="44"/>
      <c r="G183" s="44"/>
      <c r="H183" s="44"/>
      <c r="I183" s="44"/>
      <c r="J183" s="76"/>
    </row>
    <row r="184" spans="2:10" ht="15">
      <c r="B184" s="76"/>
      <c r="C184" s="76"/>
      <c r="D184" s="44"/>
      <c r="E184" s="44"/>
      <c r="F184" s="44"/>
      <c r="G184" s="44"/>
      <c r="H184" s="44"/>
      <c r="I184" s="44"/>
      <c r="J184" s="76"/>
    </row>
    <row r="185" spans="2:10" ht="15">
      <c r="B185" s="76"/>
      <c r="C185" s="76"/>
      <c r="D185" s="44"/>
      <c r="E185" s="44"/>
      <c r="F185" s="44"/>
      <c r="G185" s="44"/>
      <c r="H185" s="44"/>
      <c r="I185" s="44"/>
      <c r="J185" s="76"/>
    </row>
    <row r="186" spans="2:10" ht="15">
      <c r="B186" s="76"/>
      <c r="C186" s="76"/>
      <c r="D186" s="44"/>
      <c r="E186" s="44"/>
      <c r="F186" s="44"/>
      <c r="G186" s="44"/>
      <c r="H186" s="44"/>
      <c r="I186" s="44"/>
      <c r="J186" s="76"/>
    </row>
    <row r="187" spans="2:10" ht="15">
      <c r="B187" s="76"/>
      <c r="C187" s="76"/>
      <c r="D187" s="44"/>
      <c r="E187" s="44"/>
      <c r="F187" s="44"/>
      <c r="G187" s="44"/>
      <c r="H187" s="44"/>
      <c r="I187" s="44"/>
      <c r="J187" s="76"/>
    </row>
    <row r="188" spans="2:10" ht="15">
      <c r="B188" s="76"/>
      <c r="C188" s="76"/>
      <c r="D188" s="44"/>
      <c r="E188" s="44"/>
      <c r="F188" s="44"/>
      <c r="G188" s="44"/>
      <c r="H188" s="44"/>
      <c r="I188" s="44"/>
      <c r="J188" s="76"/>
    </row>
    <row r="189" spans="2:10" ht="15">
      <c r="B189" s="76"/>
      <c r="C189" s="76"/>
      <c r="D189" s="44"/>
      <c r="E189" s="44"/>
      <c r="F189" s="44"/>
      <c r="G189" s="44"/>
      <c r="H189" s="44"/>
      <c r="I189" s="44"/>
      <c r="J189" s="76"/>
    </row>
    <row r="190" spans="2:10" ht="15">
      <c r="B190" s="76"/>
      <c r="C190" s="76"/>
      <c r="D190" s="44"/>
      <c r="E190" s="44"/>
      <c r="F190" s="44"/>
      <c r="G190" s="44"/>
      <c r="H190" s="44"/>
      <c r="I190" s="44"/>
      <c r="J190" s="76"/>
    </row>
    <row r="191" spans="2:10" ht="15">
      <c r="B191" s="76"/>
      <c r="C191" s="76"/>
      <c r="D191" s="44"/>
      <c r="E191" s="44"/>
      <c r="F191" s="44"/>
      <c r="G191" s="44"/>
      <c r="H191" s="44"/>
      <c r="I191" s="44"/>
      <c r="J191" s="76"/>
    </row>
    <row r="192" spans="2:10" ht="15">
      <c r="B192" s="76"/>
      <c r="C192" s="76"/>
      <c r="D192" s="44"/>
      <c r="E192" s="44"/>
      <c r="F192" s="44"/>
      <c r="G192" s="44"/>
      <c r="H192" s="44"/>
      <c r="I192" s="44"/>
      <c r="J192" s="76"/>
    </row>
    <row r="193" spans="2:10" ht="15">
      <c r="B193" s="76"/>
      <c r="C193" s="76"/>
      <c r="D193" s="44"/>
      <c r="E193" s="44"/>
      <c r="F193" s="44"/>
      <c r="G193" s="44"/>
      <c r="H193" s="44"/>
      <c r="I193" s="44"/>
      <c r="J193" s="76"/>
    </row>
    <row r="194" spans="2:10" ht="15">
      <c r="B194" s="76"/>
      <c r="C194" s="76"/>
      <c r="D194" s="44"/>
      <c r="E194" s="44"/>
      <c r="F194" s="44"/>
      <c r="G194" s="44"/>
      <c r="H194" s="44"/>
      <c r="I194" s="44"/>
      <c r="J194" s="76"/>
    </row>
    <row r="195" spans="2:10" ht="15">
      <c r="B195" s="76"/>
      <c r="C195" s="76"/>
      <c r="D195" s="44"/>
      <c r="E195" s="44"/>
      <c r="F195" s="44"/>
      <c r="G195" s="44"/>
      <c r="H195" s="44"/>
      <c r="I195" s="44"/>
      <c r="J195" s="76"/>
    </row>
    <row r="196" spans="2:10" ht="15">
      <c r="B196" s="76"/>
      <c r="C196" s="76"/>
      <c r="D196" s="44"/>
      <c r="E196" s="44"/>
      <c r="F196" s="44"/>
      <c r="G196" s="44"/>
      <c r="H196" s="44"/>
      <c r="I196" s="44"/>
      <c r="J196" s="76"/>
    </row>
    <row r="197" spans="2:10" ht="15">
      <c r="B197" s="76"/>
      <c r="C197" s="76"/>
      <c r="D197" s="44"/>
      <c r="E197" s="44"/>
      <c r="F197" s="44"/>
      <c r="G197" s="44"/>
      <c r="H197" s="44"/>
      <c r="I197" s="44"/>
      <c r="J197" s="76"/>
    </row>
    <row r="198" spans="2:10" ht="15">
      <c r="B198" s="76"/>
      <c r="C198" s="76"/>
      <c r="D198" s="44"/>
      <c r="E198" s="44"/>
      <c r="F198" s="44"/>
      <c r="G198" s="44"/>
      <c r="H198" s="44"/>
      <c r="I198" s="44"/>
      <c r="J198" s="76"/>
    </row>
    <row r="199" spans="2:10" ht="15">
      <c r="B199" s="76"/>
      <c r="C199" s="76"/>
      <c r="D199" s="44"/>
      <c r="E199" s="44"/>
      <c r="F199" s="44"/>
      <c r="G199" s="44"/>
      <c r="H199" s="44"/>
      <c r="I199" s="44"/>
      <c r="J199" s="76"/>
    </row>
    <row r="200" spans="2:10" ht="15">
      <c r="B200" s="76"/>
      <c r="C200" s="76"/>
      <c r="D200" s="44"/>
      <c r="E200" s="44"/>
      <c r="F200" s="44"/>
      <c r="G200" s="44"/>
      <c r="H200" s="44"/>
      <c r="I200" s="44"/>
      <c r="J200" s="76"/>
    </row>
    <row r="201" spans="2:10" ht="15">
      <c r="B201" s="76"/>
      <c r="C201" s="76"/>
      <c r="D201" s="44"/>
      <c r="E201" s="44"/>
      <c r="F201" s="44"/>
      <c r="G201" s="44"/>
      <c r="H201" s="44"/>
      <c r="I201" s="44"/>
      <c r="J201" s="76"/>
    </row>
    <row r="202" spans="2:10" ht="15">
      <c r="B202" s="76"/>
      <c r="C202" s="76"/>
      <c r="D202" s="44"/>
      <c r="E202" s="44"/>
      <c r="F202" s="44"/>
      <c r="G202" s="44"/>
      <c r="H202" s="44"/>
      <c r="I202" s="44"/>
      <c r="J202" s="76"/>
    </row>
    <row r="203" spans="2:10" ht="15">
      <c r="B203" s="76"/>
      <c r="C203" s="76"/>
      <c r="D203" s="44"/>
      <c r="E203" s="44"/>
      <c r="F203" s="44"/>
      <c r="G203" s="44"/>
      <c r="H203" s="44"/>
      <c r="I203" s="44"/>
      <c r="J203" s="76"/>
    </row>
    <row r="204" spans="2:10" ht="15">
      <c r="B204" s="76"/>
      <c r="C204" s="76"/>
      <c r="D204" s="44"/>
      <c r="E204" s="44"/>
      <c r="F204" s="44"/>
      <c r="G204" s="44"/>
      <c r="H204" s="44"/>
      <c r="I204" s="44"/>
      <c r="J204" s="76"/>
    </row>
    <row r="205" spans="2:10" ht="15">
      <c r="B205" s="76"/>
      <c r="C205" s="76"/>
      <c r="D205" s="44"/>
      <c r="E205" s="44"/>
      <c r="F205" s="44"/>
      <c r="G205" s="44"/>
      <c r="H205" s="44"/>
      <c r="I205" s="44"/>
      <c r="J205" s="76"/>
    </row>
    <row r="206" spans="2:10" ht="15">
      <c r="B206" s="76"/>
      <c r="C206" s="76"/>
      <c r="D206" s="44"/>
      <c r="E206" s="44"/>
      <c r="F206" s="44"/>
      <c r="G206" s="44"/>
      <c r="H206" s="44"/>
      <c r="I206" s="44"/>
      <c r="J206" s="76"/>
    </row>
    <row r="207" spans="2:10" ht="15">
      <c r="B207" s="76"/>
      <c r="C207" s="76"/>
      <c r="D207" s="44"/>
      <c r="E207" s="44"/>
      <c r="F207" s="44"/>
      <c r="G207" s="44"/>
      <c r="H207" s="44"/>
      <c r="I207" s="44"/>
      <c r="J207" s="76"/>
    </row>
    <row r="208" spans="2:10" ht="15">
      <c r="B208" s="76"/>
      <c r="C208" s="76"/>
      <c r="D208" s="44"/>
      <c r="E208" s="44"/>
      <c r="F208" s="44"/>
      <c r="G208" s="44"/>
      <c r="H208" s="44"/>
      <c r="I208" s="44"/>
      <c r="J208" s="76"/>
    </row>
    <row r="209" spans="2:10" ht="15">
      <c r="B209" s="76"/>
      <c r="C209" s="76"/>
      <c r="D209" s="44"/>
      <c r="E209" s="44"/>
      <c r="F209" s="44"/>
      <c r="G209" s="44"/>
      <c r="H209" s="44"/>
      <c r="I209" s="44"/>
      <c r="J209" s="76"/>
    </row>
    <row r="210" spans="2:10" ht="15">
      <c r="B210" s="76"/>
      <c r="C210" s="76"/>
      <c r="D210" s="44"/>
      <c r="E210" s="44"/>
      <c r="F210" s="44"/>
      <c r="G210" s="44"/>
      <c r="H210" s="44"/>
      <c r="I210" s="44"/>
      <c r="J210" s="76"/>
    </row>
    <row r="211" spans="2:10" ht="15">
      <c r="B211" s="76"/>
      <c r="C211" s="76"/>
      <c r="D211" s="44"/>
      <c r="E211" s="44"/>
      <c r="F211" s="44"/>
      <c r="G211" s="44"/>
      <c r="H211" s="44"/>
      <c r="I211" s="44"/>
      <c r="J211" s="76"/>
    </row>
    <row r="212" spans="2:10" ht="15">
      <c r="B212" s="76"/>
      <c r="C212" s="76"/>
      <c r="D212" s="44"/>
      <c r="E212" s="44"/>
      <c r="F212" s="44"/>
      <c r="G212" s="44"/>
      <c r="H212" s="44"/>
      <c r="I212" s="44"/>
      <c r="J212" s="76"/>
    </row>
    <row r="213" spans="2:10" ht="15">
      <c r="B213" s="76"/>
      <c r="C213" s="76"/>
      <c r="D213" s="44"/>
      <c r="E213" s="44"/>
      <c r="F213" s="44"/>
      <c r="G213" s="44"/>
      <c r="H213" s="44"/>
      <c r="I213" s="44"/>
      <c r="J213" s="76"/>
    </row>
    <row r="214" spans="2:10" ht="15">
      <c r="B214" s="76"/>
      <c r="C214" s="76"/>
      <c r="D214" s="44"/>
      <c r="E214" s="44"/>
      <c r="F214" s="44"/>
      <c r="G214" s="44"/>
      <c r="H214" s="44"/>
      <c r="I214" s="44"/>
      <c r="J214" s="76"/>
    </row>
    <row r="215" spans="2:10" ht="15">
      <c r="B215" s="76"/>
      <c r="C215" s="76"/>
      <c r="D215" s="44"/>
      <c r="E215" s="44"/>
      <c r="F215" s="44"/>
      <c r="G215" s="44"/>
      <c r="H215" s="44"/>
      <c r="I215" s="44"/>
      <c r="J215" s="76"/>
    </row>
    <row r="216" spans="2:10" ht="15">
      <c r="B216" s="76"/>
      <c r="C216" s="76"/>
      <c r="D216" s="44"/>
      <c r="E216" s="44"/>
      <c r="F216" s="44"/>
      <c r="G216" s="44"/>
      <c r="H216" s="44"/>
      <c r="I216" s="44"/>
      <c r="J216" s="76"/>
    </row>
    <row r="217" spans="2:10" ht="15">
      <c r="B217" s="76"/>
      <c r="C217" s="76"/>
      <c r="D217" s="44"/>
      <c r="E217" s="44"/>
      <c r="F217" s="44"/>
      <c r="G217" s="44"/>
      <c r="H217" s="44"/>
      <c r="I217" s="44"/>
      <c r="J217" s="76"/>
    </row>
    <row r="218" spans="2:10" ht="15">
      <c r="B218" s="76"/>
      <c r="C218" s="76"/>
      <c r="D218" s="44"/>
      <c r="E218" s="44"/>
      <c r="F218" s="44"/>
      <c r="G218" s="44"/>
      <c r="H218" s="44"/>
      <c r="I218" s="44"/>
      <c r="J218" s="76"/>
    </row>
    <row r="219" spans="2:10" ht="15">
      <c r="B219" s="76"/>
      <c r="C219" s="76"/>
      <c r="D219" s="44"/>
      <c r="E219" s="44"/>
      <c r="F219" s="44"/>
      <c r="G219" s="44"/>
      <c r="H219" s="44"/>
      <c r="I219" s="44"/>
      <c r="J219" s="76"/>
    </row>
    <row r="220" spans="2:10" ht="15">
      <c r="B220" s="76"/>
      <c r="C220" s="76"/>
      <c r="D220" s="44"/>
      <c r="E220" s="44"/>
      <c r="F220" s="44"/>
      <c r="G220" s="44"/>
      <c r="H220" s="44"/>
      <c r="I220" s="44"/>
      <c r="J220" s="76"/>
    </row>
    <row r="221" spans="2:10" ht="15">
      <c r="B221" s="76"/>
      <c r="C221" s="76"/>
      <c r="D221" s="44"/>
      <c r="E221" s="44"/>
      <c r="F221" s="44"/>
      <c r="G221" s="44"/>
      <c r="H221" s="44"/>
      <c r="I221" s="44"/>
      <c r="J221" s="76"/>
    </row>
    <row r="222" spans="2:10" ht="15">
      <c r="B222" s="76"/>
      <c r="C222" s="76"/>
      <c r="D222" s="44"/>
      <c r="E222" s="44"/>
      <c r="F222" s="44"/>
      <c r="G222" s="44"/>
      <c r="H222" s="44"/>
      <c r="I222" s="44"/>
      <c r="J222" s="76"/>
    </row>
    <row r="223" spans="2:10" ht="15">
      <c r="B223" s="76"/>
      <c r="C223" s="76"/>
      <c r="D223" s="44"/>
      <c r="E223" s="44"/>
      <c r="F223" s="44"/>
      <c r="G223" s="44"/>
      <c r="H223" s="44"/>
      <c r="I223" s="44"/>
      <c r="J223" s="76"/>
    </row>
    <row r="224" spans="2:10" ht="15">
      <c r="B224" s="76"/>
      <c r="C224" s="76"/>
      <c r="D224" s="44"/>
      <c r="E224" s="44"/>
      <c r="F224" s="44"/>
      <c r="G224" s="44"/>
      <c r="H224" s="44"/>
      <c r="I224" s="44"/>
      <c r="J224" s="76"/>
    </row>
    <row r="225" spans="2:10" ht="15">
      <c r="B225" s="76"/>
      <c r="C225" s="76"/>
      <c r="D225" s="44"/>
      <c r="E225" s="44"/>
      <c r="F225" s="44"/>
      <c r="G225" s="44"/>
      <c r="H225" s="44"/>
      <c r="I225" s="44"/>
      <c r="J225" s="76"/>
    </row>
    <row r="226" spans="2:10" ht="15">
      <c r="B226" s="76"/>
      <c r="C226" s="76"/>
      <c r="D226" s="44"/>
      <c r="E226" s="44"/>
      <c r="F226" s="44"/>
      <c r="G226" s="44"/>
      <c r="H226" s="44"/>
      <c r="I226" s="44"/>
      <c r="J226" s="76"/>
    </row>
    <row r="227" spans="2:10" ht="15">
      <c r="B227" s="76"/>
      <c r="C227" s="76"/>
      <c r="D227" s="44"/>
      <c r="E227" s="44"/>
      <c r="F227" s="44"/>
      <c r="G227" s="44"/>
      <c r="H227" s="44"/>
      <c r="I227" s="44"/>
      <c r="J227" s="76"/>
    </row>
    <row r="228" spans="2:10" ht="15">
      <c r="B228" s="76"/>
      <c r="C228" s="76"/>
      <c r="D228" s="44"/>
      <c r="E228" s="44"/>
      <c r="F228" s="44"/>
      <c r="G228" s="44"/>
      <c r="H228" s="44"/>
      <c r="I228" s="44"/>
      <c r="J228" s="76"/>
    </row>
    <row r="229" spans="2:10" ht="15">
      <c r="B229" s="76"/>
      <c r="C229" s="76"/>
      <c r="D229" s="44"/>
      <c r="E229" s="44"/>
      <c r="F229" s="44"/>
      <c r="G229" s="44"/>
      <c r="H229" s="44"/>
      <c r="I229" s="44"/>
      <c r="J229" s="76"/>
    </row>
    <row r="230" spans="2:10" ht="15">
      <c r="B230" s="76"/>
      <c r="C230" s="76"/>
      <c r="D230" s="44"/>
      <c r="E230" s="44"/>
      <c r="F230" s="44"/>
      <c r="G230" s="44"/>
      <c r="H230" s="44"/>
      <c r="I230" s="44"/>
      <c r="J230" s="76"/>
    </row>
    <row r="231" spans="2:10" ht="15">
      <c r="B231" s="76"/>
      <c r="C231" s="76"/>
      <c r="D231" s="44"/>
      <c r="E231" s="44"/>
      <c r="F231" s="44"/>
      <c r="G231" s="44"/>
      <c r="H231" s="44"/>
      <c r="I231" s="44"/>
      <c r="J231" s="76"/>
    </row>
    <row r="232" spans="2:10" ht="15">
      <c r="B232" s="76"/>
      <c r="C232" s="76"/>
      <c r="D232" s="44"/>
      <c r="E232" s="44"/>
      <c r="F232" s="44"/>
      <c r="G232" s="44"/>
      <c r="H232" s="44"/>
      <c r="I232" s="44"/>
      <c r="J232" s="76"/>
    </row>
    <row r="233" spans="2:10" ht="15">
      <c r="B233" s="76"/>
      <c r="C233" s="76"/>
      <c r="D233" s="44"/>
      <c r="E233" s="44"/>
      <c r="F233" s="44"/>
      <c r="G233" s="44"/>
      <c r="H233" s="44"/>
      <c r="I233" s="44"/>
      <c r="J233" s="76"/>
    </row>
    <row r="234" spans="2:10" ht="15">
      <c r="B234" s="76"/>
      <c r="C234" s="76"/>
      <c r="D234" s="44"/>
      <c r="E234" s="44"/>
      <c r="F234" s="44"/>
      <c r="G234" s="44"/>
      <c r="H234" s="44"/>
      <c r="I234" s="44"/>
      <c r="J234" s="76"/>
    </row>
    <row r="235" spans="2:10" ht="15">
      <c r="B235" s="76"/>
      <c r="C235" s="76"/>
      <c r="D235" s="44"/>
      <c r="E235" s="44"/>
      <c r="F235" s="44"/>
      <c r="G235" s="44"/>
      <c r="H235" s="44"/>
      <c r="I235" s="44"/>
      <c r="J235" s="76"/>
    </row>
    <row r="236" spans="2:10" ht="15">
      <c r="B236" s="76"/>
      <c r="C236" s="76"/>
      <c r="D236" s="44"/>
      <c r="E236" s="44"/>
      <c r="F236" s="44"/>
      <c r="G236" s="44"/>
      <c r="H236" s="44"/>
      <c r="I236" s="44"/>
      <c r="J236" s="76"/>
    </row>
    <row r="237" spans="2:10" ht="15">
      <c r="B237" s="76"/>
      <c r="C237" s="76"/>
      <c r="D237" s="44"/>
      <c r="E237" s="44"/>
      <c r="F237" s="44"/>
      <c r="G237" s="44"/>
      <c r="H237" s="44"/>
      <c r="I237" s="44"/>
      <c r="J237" s="76"/>
    </row>
    <row r="238" spans="2:10" ht="15">
      <c r="B238" s="76"/>
      <c r="C238" s="76"/>
      <c r="D238" s="44"/>
      <c r="E238" s="44"/>
      <c r="F238" s="44"/>
      <c r="G238" s="44"/>
      <c r="H238" s="44"/>
      <c r="I238" s="44"/>
      <c r="J238" s="76"/>
    </row>
    <row r="239" spans="2:10" ht="15">
      <c r="B239" s="76"/>
      <c r="C239" s="76"/>
      <c r="D239" s="44"/>
      <c r="E239" s="44"/>
      <c r="F239" s="44"/>
      <c r="G239" s="44"/>
      <c r="H239" s="44"/>
      <c r="I239" s="44"/>
      <c r="J239" s="76"/>
    </row>
    <row r="240" spans="2:10" ht="15">
      <c r="B240" s="76"/>
      <c r="C240" s="76"/>
      <c r="D240" s="44"/>
      <c r="E240" s="44"/>
      <c r="F240" s="44"/>
      <c r="G240" s="44"/>
      <c r="H240" s="44"/>
      <c r="I240" s="44"/>
      <c r="J240" s="76"/>
    </row>
    <row r="241" spans="2:10" ht="15">
      <c r="B241" s="76"/>
      <c r="C241" s="76"/>
      <c r="D241" s="44"/>
      <c r="E241" s="44"/>
      <c r="F241" s="44"/>
      <c r="G241" s="44"/>
      <c r="H241" s="44"/>
      <c r="I241" s="44"/>
      <c r="J241" s="76"/>
    </row>
    <row r="242" spans="2:10" ht="15">
      <c r="B242" s="76"/>
      <c r="C242" s="76"/>
      <c r="D242" s="44"/>
      <c r="E242" s="44"/>
      <c r="F242" s="44"/>
      <c r="G242" s="44"/>
      <c r="H242" s="44"/>
      <c r="I242" s="44"/>
      <c r="J242" s="76"/>
    </row>
    <row r="243" spans="2:10" ht="15">
      <c r="B243" s="76"/>
      <c r="C243" s="76"/>
      <c r="D243" s="44"/>
      <c r="E243" s="44"/>
      <c r="F243" s="44"/>
      <c r="G243" s="44"/>
      <c r="H243" s="44"/>
      <c r="I243" s="44"/>
      <c r="J243" s="76"/>
    </row>
    <row r="244" spans="2:10" ht="15">
      <c r="B244" s="76"/>
      <c r="C244" s="76"/>
      <c r="D244" s="44"/>
      <c r="E244" s="44"/>
      <c r="F244" s="44"/>
      <c r="G244" s="44"/>
      <c r="H244" s="44"/>
      <c r="I244" s="44"/>
      <c r="J244" s="76"/>
    </row>
    <row r="245" spans="2:10" ht="15">
      <c r="B245" s="76"/>
      <c r="C245" s="76"/>
      <c r="D245" s="44"/>
      <c r="E245" s="44"/>
      <c r="F245" s="44"/>
      <c r="G245" s="44"/>
      <c r="H245" s="44"/>
      <c r="I245" s="44"/>
      <c r="J245" s="76"/>
    </row>
    <row r="246" spans="2:10" ht="15">
      <c r="B246" s="76"/>
      <c r="C246" s="76"/>
      <c r="D246" s="44"/>
      <c r="E246" s="44"/>
      <c r="F246" s="44"/>
      <c r="G246" s="44"/>
      <c r="H246" s="44"/>
      <c r="I246" s="44"/>
      <c r="J246" s="76"/>
    </row>
    <row r="247" spans="2:10" ht="15">
      <c r="B247" s="76"/>
      <c r="C247" s="76"/>
      <c r="D247" s="44"/>
      <c r="E247" s="44"/>
      <c r="F247" s="44"/>
      <c r="G247" s="44"/>
      <c r="H247" s="44"/>
      <c r="I247" s="44"/>
      <c r="J247" s="76"/>
    </row>
    <row r="248" spans="2:10" ht="15">
      <c r="B248" s="76"/>
      <c r="C248" s="76"/>
      <c r="D248" s="44"/>
      <c r="E248" s="44"/>
      <c r="F248" s="44"/>
      <c r="G248" s="44"/>
      <c r="H248" s="44"/>
      <c r="I248" s="44"/>
      <c r="J248" s="76"/>
    </row>
    <row r="249" spans="2:10" ht="15">
      <c r="B249" s="76"/>
      <c r="C249" s="76"/>
      <c r="D249" s="44"/>
      <c r="E249" s="44"/>
      <c r="F249" s="44"/>
      <c r="G249" s="44"/>
      <c r="H249" s="44"/>
      <c r="I249" s="44"/>
      <c r="J249" s="76"/>
    </row>
    <row r="250" spans="2:10" ht="15">
      <c r="B250" s="76"/>
      <c r="C250" s="76"/>
      <c r="D250" s="44"/>
      <c r="E250" s="44"/>
      <c r="F250" s="44"/>
      <c r="G250" s="44"/>
      <c r="H250" s="44"/>
      <c r="I250" s="44"/>
      <c r="J250" s="76"/>
    </row>
    <row r="251" spans="2:10" ht="15">
      <c r="B251" s="76"/>
      <c r="C251" s="76"/>
      <c r="D251" s="44"/>
      <c r="E251" s="44"/>
      <c r="F251" s="44"/>
      <c r="G251" s="44"/>
      <c r="H251" s="44"/>
      <c r="I251" s="44"/>
      <c r="J251" s="76"/>
    </row>
    <row r="252" spans="2:10" ht="15">
      <c r="B252" s="76"/>
      <c r="C252" s="76"/>
      <c r="D252" s="44"/>
      <c r="E252" s="44"/>
      <c r="F252" s="44"/>
      <c r="G252" s="44"/>
      <c r="H252" s="44"/>
      <c r="I252" s="44"/>
      <c r="J252" s="76"/>
    </row>
    <row r="253" spans="2:10" ht="15">
      <c r="B253" s="76"/>
      <c r="C253" s="76"/>
      <c r="D253" s="44"/>
      <c r="E253" s="44"/>
      <c r="F253" s="44"/>
      <c r="G253" s="44"/>
      <c r="H253" s="44"/>
      <c r="I253" s="44"/>
      <c r="J253" s="76"/>
    </row>
    <row r="254" spans="2:10" ht="15">
      <c r="B254" s="76"/>
      <c r="C254" s="76"/>
      <c r="D254" s="44"/>
      <c r="E254" s="44"/>
      <c r="F254" s="44"/>
      <c r="G254" s="44"/>
      <c r="H254" s="44"/>
      <c r="I254" s="44"/>
      <c r="J254" s="76"/>
    </row>
    <row r="255" spans="2:10" ht="15">
      <c r="B255" s="76"/>
      <c r="C255" s="76"/>
      <c r="D255" s="44"/>
      <c r="E255" s="44"/>
      <c r="F255" s="44"/>
      <c r="G255" s="44"/>
      <c r="H255" s="44"/>
      <c r="I255" s="44"/>
      <c r="J255" s="76"/>
    </row>
    <row r="256" spans="2:10" ht="15">
      <c r="B256" s="76"/>
      <c r="C256" s="76"/>
      <c r="D256" s="44"/>
      <c r="E256" s="44"/>
      <c r="F256" s="44"/>
      <c r="G256" s="44"/>
      <c r="H256" s="44"/>
      <c r="I256" s="44"/>
      <c r="J256" s="76"/>
    </row>
    <row r="257" spans="2:10" ht="15">
      <c r="B257" s="76"/>
      <c r="C257" s="76"/>
      <c r="D257" s="44"/>
      <c r="E257" s="44"/>
      <c r="F257" s="44"/>
      <c r="G257" s="44"/>
      <c r="H257" s="44"/>
      <c r="I257" s="44"/>
      <c r="J257" s="76"/>
    </row>
    <row r="258" spans="2:10" ht="15">
      <c r="B258" s="76"/>
      <c r="C258" s="76"/>
      <c r="D258" s="44"/>
      <c r="E258" s="44"/>
      <c r="F258" s="44"/>
      <c r="G258" s="44"/>
      <c r="H258" s="44"/>
      <c r="I258" s="44"/>
      <c r="J258" s="76"/>
    </row>
    <row r="259" spans="2:10" ht="15">
      <c r="B259" s="76"/>
      <c r="C259" s="76"/>
      <c r="D259" s="44"/>
      <c r="E259" s="44"/>
      <c r="F259" s="44"/>
      <c r="G259" s="44"/>
      <c r="H259" s="44"/>
      <c r="I259" s="44"/>
      <c r="J259" s="76"/>
    </row>
    <row r="260" spans="2:10" ht="15">
      <c r="B260" s="76"/>
      <c r="C260" s="76"/>
      <c r="D260" s="44"/>
      <c r="E260" s="44"/>
      <c r="F260" s="44"/>
      <c r="G260" s="44"/>
      <c r="H260" s="44"/>
      <c r="I260" s="44"/>
      <c r="J260" s="76"/>
    </row>
    <row r="261" spans="2:10" ht="15">
      <c r="B261" s="76"/>
      <c r="C261" s="76"/>
      <c r="D261" s="44"/>
      <c r="E261" s="44"/>
      <c r="F261" s="44"/>
      <c r="G261" s="44"/>
      <c r="H261" s="44"/>
      <c r="I261" s="44"/>
      <c r="J261" s="76"/>
    </row>
    <row r="262" spans="2:10" ht="15">
      <c r="B262" s="76"/>
      <c r="C262" s="76"/>
      <c r="D262" s="44"/>
      <c r="E262" s="44"/>
      <c r="F262" s="44"/>
      <c r="G262" s="44"/>
      <c r="H262" s="44"/>
      <c r="I262" s="44"/>
      <c r="J262" s="76"/>
    </row>
    <row r="263" spans="2:10" ht="15">
      <c r="B263" s="76"/>
      <c r="C263" s="76"/>
      <c r="D263" s="44"/>
      <c r="E263" s="44"/>
      <c r="F263" s="44"/>
      <c r="G263" s="44"/>
      <c r="H263" s="44"/>
      <c r="I263" s="44"/>
      <c r="J263" s="76"/>
    </row>
    <row r="264" spans="2:10" ht="15">
      <c r="B264" s="76"/>
      <c r="C264" s="76"/>
      <c r="D264" s="44"/>
      <c r="E264" s="44"/>
      <c r="F264" s="44"/>
      <c r="G264" s="44"/>
      <c r="H264" s="44"/>
      <c r="I264" s="44"/>
      <c r="J264" s="76"/>
    </row>
    <row r="265" spans="2:10" ht="15">
      <c r="B265" s="76"/>
      <c r="C265" s="76"/>
      <c r="D265" s="44"/>
      <c r="E265" s="44"/>
      <c r="F265" s="44"/>
      <c r="G265" s="44"/>
      <c r="H265" s="44"/>
      <c r="I265" s="44"/>
      <c r="J265" s="76"/>
    </row>
    <row r="266" spans="2:10" ht="15">
      <c r="B266" s="76"/>
      <c r="C266" s="76"/>
      <c r="D266" s="44"/>
      <c r="E266" s="44"/>
      <c r="F266" s="44"/>
      <c r="G266" s="44"/>
      <c r="H266" s="44"/>
      <c r="I266" s="44"/>
      <c r="J266" s="76"/>
    </row>
    <row r="267" spans="2:10" ht="15">
      <c r="B267" s="76"/>
      <c r="C267" s="76"/>
      <c r="D267" s="44"/>
      <c r="E267" s="44"/>
      <c r="F267" s="44"/>
      <c r="G267" s="44"/>
      <c r="H267" s="44"/>
      <c r="I267" s="44"/>
      <c r="J267" s="76"/>
    </row>
    <row r="268" spans="2:10" ht="15">
      <c r="B268" s="76"/>
      <c r="C268" s="76"/>
      <c r="D268" s="44"/>
      <c r="E268" s="44"/>
      <c r="F268" s="44"/>
      <c r="G268" s="44"/>
      <c r="H268" s="44"/>
      <c r="I268" s="44"/>
      <c r="J268" s="76"/>
    </row>
    <row r="269" spans="2:10" ht="15">
      <c r="B269" s="76"/>
      <c r="C269" s="76"/>
      <c r="D269" s="44"/>
      <c r="E269" s="44"/>
      <c r="F269" s="44"/>
      <c r="G269" s="44"/>
      <c r="H269" s="44"/>
      <c r="I269" s="44"/>
      <c r="J269" s="76"/>
    </row>
    <row r="270" spans="2:10" ht="15">
      <c r="B270" s="76"/>
      <c r="C270" s="76"/>
      <c r="D270" s="44"/>
      <c r="E270" s="44"/>
      <c r="F270" s="44"/>
      <c r="G270" s="44"/>
      <c r="H270" s="44"/>
      <c r="I270" s="44"/>
      <c r="J270" s="76"/>
    </row>
    <row r="271" spans="2:10" ht="15">
      <c r="B271" s="76"/>
      <c r="C271" s="76"/>
      <c r="D271" s="44"/>
      <c r="E271" s="44"/>
      <c r="F271" s="44"/>
      <c r="G271" s="44"/>
      <c r="H271" s="44"/>
      <c r="I271" s="44"/>
      <c r="J271" s="76"/>
    </row>
    <row r="272" spans="2:10" ht="15">
      <c r="B272" s="76"/>
      <c r="C272" s="76"/>
      <c r="D272" s="44"/>
      <c r="E272" s="44"/>
      <c r="F272" s="44"/>
      <c r="G272" s="44"/>
      <c r="H272" s="44"/>
      <c r="I272" s="44"/>
      <c r="J272" s="76"/>
    </row>
    <row r="273" spans="2:10" ht="15">
      <c r="B273" s="76"/>
      <c r="C273" s="76"/>
      <c r="D273" s="44"/>
      <c r="E273" s="44"/>
      <c r="F273" s="44"/>
      <c r="G273" s="44"/>
      <c r="H273" s="44"/>
      <c r="I273" s="44"/>
      <c r="J273" s="76"/>
    </row>
    <row r="274" spans="2:10" ht="15">
      <c r="B274" s="76"/>
      <c r="C274" s="76"/>
      <c r="D274" s="44"/>
      <c r="E274" s="44"/>
      <c r="F274" s="44"/>
      <c r="G274" s="44"/>
      <c r="H274" s="44"/>
      <c r="I274" s="44"/>
      <c r="J274" s="76"/>
    </row>
    <row r="275" spans="2:10" ht="15">
      <c r="B275" s="76"/>
      <c r="C275" s="76"/>
      <c r="D275" s="44"/>
      <c r="E275" s="44"/>
      <c r="F275" s="44"/>
      <c r="G275" s="44"/>
      <c r="H275" s="44"/>
      <c r="I275" s="44"/>
      <c r="J275" s="76"/>
    </row>
    <row r="276" spans="2:10" ht="15">
      <c r="B276" s="76"/>
      <c r="C276" s="76"/>
      <c r="D276" s="44"/>
      <c r="E276" s="44"/>
      <c r="F276" s="44"/>
      <c r="G276" s="44"/>
      <c r="H276" s="44"/>
      <c r="I276" s="44"/>
      <c r="J276" s="76"/>
    </row>
    <row r="277" spans="2:10" ht="15">
      <c r="B277" s="76"/>
      <c r="C277" s="76"/>
      <c r="D277" s="44"/>
      <c r="E277" s="44"/>
      <c r="F277" s="44"/>
      <c r="G277" s="44"/>
      <c r="H277" s="44"/>
      <c r="I277" s="44"/>
      <c r="J277" s="76"/>
    </row>
    <row r="278" spans="2:10" ht="15">
      <c r="B278" s="76"/>
      <c r="C278" s="76"/>
      <c r="D278" s="44"/>
      <c r="E278" s="44"/>
      <c r="F278" s="44"/>
      <c r="G278" s="44"/>
      <c r="H278" s="44"/>
      <c r="I278" s="44"/>
      <c r="J278" s="76"/>
    </row>
    <row r="279" spans="2:10" ht="15">
      <c r="B279" s="76"/>
      <c r="C279" s="76"/>
      <c r="D279" s="44"/>
      <c r="E279" s="44"/>
      <c r="F279" s="44"/>
      <c r="G279" s="44"/>
      <c r="H279" s="44"/>
      <c r="I279" s="44"/>
      <c r="J279" s="76"/>
    </row>
    <row r="280" spans="2:10" ht="15">
      <c r="B280" s="76"/>
      <c r="C280" s="76"/>
      <c r="D280" s="44"/>
      <c r="E280" s="44"/>
      <c r="F280" s="44"/>
      <c r="G280" s="44"/>
      <c r="H280" s="44"/>
      <c r="I280" s="44"/>
      <c r="J280" s="76"/>
    </row>
    <row r="281" spans="2:10" ht="15">
      <c r="B281" s="76"/>
      <c r="C281" s="76"/>
      <c r="D281" s="44"/>
      <c r="E281" s="44"/>
      <c r="F281" s="44"/>
      <c r="G281" s="44"/>
      <c r="H281" s="44"/>
      <c r="I281" s="44"/>
      <c r="J281" s="76"/>
    </row>
    <row r="282" spans="2:10" ht="15">
      <c r="B282" s="76"/>
      <c r="C282" s="76"/>
      <c r="D282" s="44"/>
      <c r="E282" s="44"/>
      <c r="F282" s="44"/>
      <c r="G282" s="44"/>
      <c r="H282" s="44"/>
      <c r="I282" s="44"/>
      <c r="J282" s="76"/>
    </row>
    <row r="283" spans="2:10" ht="15">
      <c r="B283" s="76"/>
      <c r="C283" s="76"/>
      <c r="D283" s="44"/>
      <c r="E283" s="44"/>
      <c r="F283" s="44"/>
      <c r="G283" s="44"/>
      <c r="H283" s="44"/>
      <c r="I283" s="44"/>
      <c r="J283" s="76"/>
    </row>
    <row r="284" spans="2:10" ht="15">
      <c r="B284" s="76"/>
      <c r="C284" s="76"/>
      <c r="D284" s="44"/>
      <c r="E284" s="44"/>
      <c r="F284" s="44"/>
      <c r="G284" s="44"/>
      <c r="H284" s="44"/>
      <c r="I284" s="44"/>
      <c r="J284" s="76"/>
    </row>
    <row r="285" spans="2:10" ht="15">
      <c r="B285" s="76"/>
      <c r="C285" s="76"/>
      <c r="D285" s="44"/>
      <c r="E285" s="44"/>
      <c r="F285" s="44"/>
      <c r="G285" s="44"/>
      <c r="H285" s="44"/>
      <c r="I285" s="44"/>
      <c r="J285" s="76"/>
    </row>
    <row r="286" spans="2:10" ht="15">
      <c r="B286" s="76"/>
      <c r="C286" s="76"/>
      <c r="D286" s="44"/>
      <c r="E286" s="44"/>
      <c r="F286" s="44"/>
      <c r="G286" s="44"/>
      <c r="H286" s="44"/>
      <c r="I286" s="44"/>
      <c r="J286" s="76"/>
    </row>
    <row r="287" spans="2:10" ht="15">
      <c r="B287" s="76"/>
      <c r="C287" s="76"/>
      <c r="D287" s="44"/>
      <c r="E287" s="44"/>
      <c r="F287" s="44"/>
      <c r="G287" s="44"/>
      <c r="H287" s="44"/>
      <c r="I287" s="44"/>
      <c r="J287" s="76"/>
    </row>
    <row r="288" spans="2:10" ht="15">
      <c r="B288" s="76"/>
      <c r="C288" s="76"/>
      <c r="D288" s="44"/>
      <c r="E288" s="44"/>
      <c r="F288" s="44"/>
      <c r="G288" s="44"/>
      <c r="H288" s="44"/>
      <c r="I288" s="44"/>
      <c r="J288" s="76"/>
    </row>
    <row r="289" spans="2:10" ht="15">
      <c r="B289" s="76"/>
      <c r="C289" s="76"/>
      <c r="D289" s="44"/>
      <c r="E289" s="44"/>
      <c r="F289" s="44"/>
      <c r="G289" s="44"/>
      <c r="H289" s="44"/>
      <c r="I289" s="44"/>
      <c r="J289" s="76"/>
    </row>
    <row r="290" spans="2:10" ht="15">
      <c r="B290" s="76"/>
      <c r="C290" s="76"/>
      <c r="D290" s="44"/>
      <c r="E290" s="44"/>
      <c r="F290" s="44"/>
      <c r="G290" s="44"/>
      <c r="H290" s="44"/>
      <c r="I290" s="44"/>
      <c r="J290" s="76"/>
    </row>
    <row r="291" spans="2:10" ht="15">
      <c r="B291" s="76"/>
      <c r="C291" s="76"/>
      <c r="D291" s="44"/>
      <c r="E291" s="44"/>
      <c r="F291" s="44"/>
      <c r="G291" s="44"/>
      <c r="H291" s="44"/>
      <c r="I291" s="44"/>
      <c r="J291" s="76"/>
    </row>
    <row r="292" spans="2:10" ht="15">
      <c r="B292" s="76"/>
      <c r="C292" s="76"/>
      <c r="D292" s="44"/>
      <c r="E292" s="44"/>
      <c r="F292" s="44"/>
      <c r="G292" s="44"/>
      <c r="H292" s="44"/>
      <c r="I292" s="44"/>
      <c r="J292" s="76"/>
    </row>
    <row r="293" spans="2:10" ht="15">
      <c r="B293" s="76"/>
      <c r="C293" s="76"/>
      <c r="D293" s="44"/>
      <c r="E293" s="44"/>
      <c r="F293" s="44"/>
      <c r="G293" s="44"/>
      <c r="H293" s="44"/>
      <c r="I293" s="44"/>
      <c r="J293" s="76"/>
    </row>
    <row r="294" spans="2:10" ht="15">
      <c r="B294" s="76"/>
      <c r="C294" s="76"/>
      <c r="D294" s="44"/>
      <c r="E294" s="44"/>
      <c r="F294" s="44"/>
      <c r="G294" s="44"/>
      <c r="H294" s="44"/>
      <c r="I294" s="44"/>
      <c r="J294" s="76"/>
    </row>
    <row r="295" spans="2:10" ht="15">
      <c r="B295" s="76"/>
      <c r="C295" s="76"/>
      <c r="D295" s="44"/>
      <c r="E295" s="44"/>
      <c r="F295" s="44"/>
      <c r="G295" s="44"/>
      <c r="H295" s="44"/>
      <c r="I295" s="44"/>
      <c r="J295" s="76"/>
    </row>
    <row r="296" spans="2:10" ht="15">
      <c r="B296" s="76"/>
      <c r="C296" s="76"/>
      <c r="D296" s="44"/>
      <c r="E296" s="44"/>
      <c r="F296" s="44"/>
      <c r="G296" s="44"/>
      <c r="H296" s="44"/>
      <c r="I296" s="44"/>
      <c r="J296" s="76"/>
    </row>
    <row r="297" spans="2:10" ht="15">
      <c r="B297" s="76"/>
      <c r="C297" s="76"/>
      <c r="D297" s="44"/>
      <c r="E297" s="44"/>
      <c r="F297" s="44"/>
      <c r="G297" s="44"/>
      <c r="H297" s="44"/>
      <c r="I297" s="44"/>
      <c r="J297" s="76"/>
    </row>
    <row r="298" spans="2:10" ht="15">
      <c r="B298" s="76"/>
      <c r="C298" s="76"/>
      <c r="D298" s="44"/>
      <c r="E298" s="44"/>
      <c r="F298" s="44"/>
      <c r="G298" s="44"/>
      <c r="H298" s="44"/>
      <c r="I298" s="44"/>
      <c r="J298" s="76"/>
    </row>
    <row r="299" spans="2:10" ht="15">
      <c r="B299" s="76"/>
      <c r="C299" s="76"/>
      <c r="D299" s="44"/>
      <c r="E299" s="44"/>
      <c r="F299" s="44"/>
      <c r="G299" s="44"/>
      <c r="H299" s="44"/>
      <c r="I299" s="44"/>
      <c r="J299" s="76"/>
    </row>
    <row r="300" spans="2:10" ht="15">
      <c r="B300" s="76"/>
      <c r="C300" s="76"/>
      <c r="D300" s="44"/>
      <c r="E300" s="44"/>
      <c r="F300" s="44"/>
      <c r="G300" s="44"/>
      <c r="H300" s="44"/>
      <c r="I300" s="44"/>
      <c r="J300" s="76"/>
    </row>
    <row r="301" spans="2:10" ht="15">
      <c r="B301" s="76"/>
      <c r="C301" s="76"/>
      <c r="D301" s="44"/>
      <c r="E301" s="44"/>
      <c r="F301" s="44"/>
      <c r="G301" s="44"/>
      <c r="H301" s="44"/>
      <c r="I301" s="44"/>
      <c r="J301" s="76"/>
    </row>
    <row r="302" spans="2:10" ht="15">
      <c r="B302" s="76"/>
      <c r="C302" s="76"/>
      <c r="D302" s="44"/>
      <c r="E302" s="44"/>
      <c r="F302" s="44"/>
      <c r="G302" s="44"/>
      <c r="H302" s="44"/>
      <c r="I302" s="44"/>
      <c r="J302" s="76"/>
    </row>
    <row r="303" spans="2:10" ht="15">
      <c r="B303" s="76"/>
      <c r="C303" s="76"/>
      <c r="D303" s="44"/>
      <c r="E303" s="44"/>
      <c r="F303" s="44"/>
      <c r="G303" s="44"/>
      <c r="H303" s="44"/>
      <c r="I303" s="44"/>
      <c r="J303" s="76"/>
    </row>
    <row r="304" spans="2:10" ht="15">
      <c r="B304" s="76"/>
      <c r="C304" s="76"/>
      <c r="D304" s="44"/>
      <c r="E304" s="44"/>
      <c r="F304" s="44"/>
      <c r="G304" s="44"/>
      <c r="H304" s="44"/>
      <c r="I304" s="44"/>
      <c r="J304" s="76"/>
    </row>
    <row r="305" spans="2:10" ht="15">
      <c r="B305" s="76"/>
      <c r="C305" s="76"/>
      <c r="D305" s="44"/>
      <c r="E305" s="44"/>
      <c r="F305" s="44"/>
      <c r="G305" s="44"/>
      <c r="H305" s="44"/>
      <c r="I305" s="44"/>
      <c r="J305" s="76"/>
    </row>
    <row r="306" spans="2:10" ht="15">
      <c r="B306" s="76"/>
      <c r="C306" s="76"/>
      <c r="D306" s="44"/>
      <c r="E306" s="44"/>
      <c r="F306" s="44"/>
      <c r="G306" s="44"/>
      <c r="H306" s="44"/>
      <c r="I306" s="44"/>
      <c r="J306" s="76"/>
    </row>
    <row r="307" spans="2:10" ht="15">
      <c r="B307" s="76"/>
      <c r="C307" s="76"/>
      <c r="D307" s="44"/>
      <c r="E307" s="44"/>
      <c r="F307" s="44"/>
      <c r="G307" s="44"/>
      <c r="H307" s="44"/>
      <c r="I307" s="44"/>
      <c r="J307" s="76"/>
    </row>
    <row r="308" spans="2:10" ht="15">
      <c r="B308" s="76"/>
      <c r="C308" s="76"/>
      <c r="D308" s="44"/>
      <c r="E308" s="44"/>
      <c r="F308" s="44"/>
      <c r="G308" s="44"/>
      <c r="H308" s="44"/>
      <c r="I308" s="44"/>
      <c r="J308" s="76"/>
    </row>
    <row r="309" spans="2:10" ht="15">
      <c r="B309" s="76"/>
      <c r="C309" s="76"/>
      <c r="D309" s="44"/>
      <c r="E309" s="44"/>
      <c r="F309" s="44"/>
      <c r="G309" s="44"/>
      <c r="H309" s="44"/>
      <c r="I309" s="44"/>
      <c r="J309" s="76"/>
    </row>
    <row r="310" spans="2:10" ht="15">
      <c r="B310" s="76"/>
      <c r="C310" s="76"/>
      <c r="D310" s="44"/>
      <c r="E310" s="44"/>
      <c r="F310" s="44"/>
      <c r="G310" s="44"/>
      <c r="H310" s="44"/>
      <c r="I310" s="44"/>
      <c r="J310" s="76"/>
    </row>
    <row r="311" spans="2:10" ht="15">
      <c r="B311" s="76"/>
      <c r="C311" s="76"/>
      <c r="D311" s="44"/>
      <c r="E311" s="44"/>
      <c r="F311" s="44"/>
      <c r="G311" s="44"/>
      <c r="H311" s="44"/>
      <c r="I311" s="44"/>
      <c r="J311" s="76"/>
    </row>
    <row r="312" spans="2:10" ht="15">
      <c r="B312" s="76"/>
      <c r="C312" s="76"/>
      <c r="D312" s="44"/>
      <c r="E312" s="44"/>
      <c r="F312" s="44"/>
      <c r="G312" s="44"/>
      <c r="H312" s="44"/>
      <c r="I312" s="44"/>
      <c r="J312" s="76"/>
    </row>
    <row r="313" spans="2:10" ht="15">
      <c r="B313" s="76"/>
      <c r="C313" s="76"/>
      <c r="D313" s="44"/>
      <c r="E313" s="44"/>
      <c r="F313" s="44"/>
      <c r="G313" s="44"/>
      <c r="H313" s="44"/>
      <c r="I313" s="44"/>
      <c r="J313" s="76"/>
    </row>
    <row r="314" spans="2:10" ht="15">
      <c r="B314" s="76"/>
      <c r="C314" s="76"/>
      <c r="D314" s="44"/>
      <c r="E314" s="44"/>
      <c r="F314" s="44"/>
      <c r="G314" s="44"/>
      <c r="H314" s="44"/>
      <c r="I314" s="44"/>
      <c r="J314" s="76"/>
    </row>
    <row r="315" spans="2:10" ht="15">
      <c r="B315" s="76"/>
      <c r="C315" s="76"/>
      <c r="D315" s="44"/>
      <c r="E315" s="44"/>
      <c r="F315" s="44"/>
      <c r="G315" s="44"/>
      <c r="H315" s="44"/>
      <c r="I315" s="44"/>
      <c r="J315" s="76"/>
    </row>
    <row r="316" spans="2:10" ht="15">
      <c r="B316" s="76"/>
      <c r="C316" s="76"/>
      <c r="D316" s="44"/>
      <c r="E316" s="44"/>
      <c r="F316" s="44"/>
      <c r="G316" s="44"/>
      <c r="H316" s="44"/>
      <c r="I316" s="44"/>
      <c r="J316" s="76"/>
    </row>
    <row r="317" spans="2:10" ht="15">
      <c r="B317" s="76"/>
      <c r="C317" s="76"/>
      <c r="D317" s="44"/>
      <c r="E317" s="44"/>
      <c r="F317" s="44"/>
      <c r="G317" s="44"/>
      <c r="H317" s="44"/>
      <c r="I317" s="44"/>
      <c r="J317" s="76"/>
    </row>
    <row r="318" spans="2:10" ht="15">
      <c r="B318" s="76"/>
      <c r="C318" s="76"/>
      <c r="D318" s="44"/>
      <c r="E318" s="44"/>
      <c r="F318" s="44"/>
      <c r="G318" s="44"/>
      <c r="H318" s="44"/>
      <c r="I318" s="44"/>
      <c r="J318" s="76"/>
    </row>
    <row r="319" spans="2:10" ht="15">
      <c r="B319" s="76"/>
      <c r="C319" s="76"/>
      <c r="D319" s="44"/>
      <c r="E319" s="44"/>
      <c r="F319" s="44"/>
      <c r="G319" s="44"/>
      <c r="H319" s="44"/>
      <c r="I319" s="44"/>
      <c r="J319" s="76"/>
    </row>
    <row r="320" spans="2:10" ht="15">
      <c r="B320" s="76"/>
      <c r="C320" s="76"/>
      <c r="D320" s="44"/>
      <c r="E320" s="44"/>
      <c r="F320" s="44"/>
      <c r="G320" s="44"/>
      <c r="H320" s="44"/>
      <c r="I320" s="44"/>
      <c r="J320" s="76"/>
    </row>
    <row r="321" spans="2:10" ht="15">
      <c r="B321" s="76"/>
      <c r="C321" s="76"/>
      <c r="D321" s="44"/>
      <c r="E321" s="44"/>
      <c r="F321" s="44"/>
      <c r="G321" s="44"/>
      <c r="H321" s="44"/>
      <c r="I321" s="44"/>
      <c r="J321" s="76"/>
    </row>
    <row r="322" spans="2:10" ht="15">
      <c r="B322" s="76"/>
      <c r="C322" s="76"/>
      <c r="D322" s="44"/>
      <c r="E322" s="44"/>
      <c r="F322" s="44"/>
      <c r="G322" s="44"/>
      <c r="H322" s="44"/>
      <c r="I322" s="44"/>
      <c r="J322" s="76"/>
    </row>
    <row r="323" spans="2:10" ht="15">
      <c r="B323" s="76"/>
      <c r="C323" s="76"/>
      <c r="D323" s="44"/>
      <c r="E323" s="44"/>
      <c r="F323" s="44"/>
      <c r="G323" s="44"/>
      <c r="H323" s="44"/>
      <c r="I323" s="44"/>
      <c r="J323" s="76"/>
    </row>
    <row r="324" spans="2:10" ht="15">
      <c r="B324" s="76"/>
      <c r="C324" s="76"/>
      <c r="D324" s="44"/>
      <c r="E324" s="44"/>
      <c r="F324" s="44"/>
      <c r="G324" s="44"/>
      <c r="H324" s="44"/>
      <c r="I324" s="44"/>
      <c r="J324" s="76"/>
    </row>
    <row r="325" spans="2:10" ht="15">
      <c r="B325" s="76"/>
      <c r="C325" s="76"/>
      <c r="D325" s="44"/>
      <c r="E325" s="44"/>
      <c r="F325" s="44"/>
      <c r="G325" s="44"/>
      <c r="H325" s="44"/>
      <c r="I325" s="44"/>
      <c r="J325" s="76"/>
    </row>
    <row r="326" spans="2:10" ht="15">
      <c r="B326" s="76"/>
      <c r="C326" s="76"/>
      <c r="D326" s="44"/>
      <c r="E326" s="44"/>
      <c r="F326" s="44"/>
      <c r="G326" s="44"/>
      <c r="H326" s="44"/>
      <c r="I326" s="44"/>
      <c r="J326" s="76"/>
    </row>
    <row r="327" spans="2:10" ht="15">
      <c r="B327" s="76"/>
      <c r="C327" s="76"/>
      <c r="D327" s="44"/>
      <c r="E327" s="44"/>
      <c r="F327" s="44"/>
      <c r="G327" s="44"/>
      <c r="H327" s="44"/>
      <c r="I327" s="44"/>
      <c r="J327" s="76"/>
    </row>
    <row r="328" spans="2:10" ht="15">
      <c r="B328" s="76"/>
      <c r="C328" s="76"/>
      <c r="D328" s="44"/>
      <c r="E328" s="44"/>
      <c r="F328" s="44"/>
      <c r="G328" s="44"/>
      <c r="H328" s="44"/>
      <c r="I328" s="44"/>
      <c r="J328" s="76"/>
    </row>
    <row r="329" spans="2:10" ht="15">
      <c r="B329" s="76"/>
      <c r="C329" s="76"/>
      <c r="D329" s="44"/>
      <c r="E329" s="44"/>
      <c r="F329" s="44"/>
      <c r="G329" s="44"/>
      <c r="H329" s="44"/>
      <c r="I329" s="44"/>
      <c r="J329" s="76"/>
    </row>
    <row r="330" spans="2:10" ht="15">
      <c r="B330" s="76"/>
      <c r="C330" s="76"/>
      <c r="D330" s="44"/>
      <c r="E330" s="44"/>
      <c r="F330" s="44"/>
      <c r="G330" s="44"/>
      <c r="H330" s="44"/>
      <c r="I330" s="44"/>
      <c r="J330" s="76"/>
    </row>
    <row r="331" spans="2:10" ht="15">
      <c r="B331" s="76"/>
      <c r="C331" s="76"/>
      <c r="D331" s="44"/>
      <c r="E331" s="44"/>
      <c r="F331" s="44"/>
      <c r="G331" s="44"/>
      <c r="H331" s="44"/>
      <c r="I331" s="44"/>
      <c r="J331" s="76"/>
    </row>
    <row r="332" spans="2:10" ht="15">
      <c r="B332" s="76"/>
      <c r="C332" s="76"/>
      <c r="D332" s="44"/>
      <c r="E332" s="44"/>
      <c r="F332" s="44"/>
      <c r="G332" s="44"/>
      <c r="H332" s="44"/>
      <c r="I332" s="44"/>
      <c r="J332" s="76"/>
    </row>
    <row r="333" spans="2:10" ht="15">
      <c r="B333" s="76"/>
      <c r="C333" s="76"/>
      <c r="D333" s="44"/>
      <c r="E333" s="44"/>
      <c r="F333" s="44"/>
      <c r="G333" s="44"/>
      <c r="H333" s="44"/>
      <c r="I333" s="44"/>
      <c r="J333" s="76"/>
    </row>
    <row r="334" spans="2:10" ht="15">
      <c r="B334" s="76"/>
      <c r="C334" s="76"/>
      <c r="D334" s="44"/>
      <c r="E334" s="44"/>
      <c r="F334" s="44"/>
      <c r="G334" s="44"/>
      <c r="H334" s="44"/>
      <c r="I334" s="44"/>
      <c r="J334" s="76"/>
    </row>
    <row r="335" spans="2:10" ht="15">
      <c r="B335" s="76"/>
      <c r="C335" s="76"/>
      <c r="D335" s="44"/>
      <c r="E335" s="44"/>
      <c r="F335" s="44"/>
      <c r="G335" s="44"/>
      <c r="H335" s="44"/>
      <c r="I335" s="44"/>
      <c r="J335" s="76"/>
    </row>
    <row r="336" spans="2:10" ht="15">
      <c r="B336" s="76"/>
      <c r="C336" s="76"/>
      <c r="D336" s="44"/>
      <c r="E336" s="44"/>
      <c r="F336" s="44"/>
      <c r="G336" s="44"/>
      <c r="H336" s="44"/>
      <c r="I336" s="44"/>
      <c r="J336" s="76"/>
    </row>
    <row r="337" spans="2:10" ht="15">
      <c r="B337" s="76"/>
      <c r="C337" s="76"/>
      <c r="D337" s="44"/>
      <c r="E337" s="44"/>
      <c r="F337" s="44"/>
      <c r="G337" s="44"/>
      <c r="H337" s="44"/>
      <c r="I337" s="44"/>
      <c r="J337" s="76"/>
    </row>
    <row r="338" spans="2:10" ht="15">
      <c r="B338" s="76"/>
      <c r="C338" s="76"/>
      <c r="D338" s="44"/>
      <c r="E338" s="44"/>
      <c r="F338" s="44"/>
      <c r="G338" s="44"/>
      <c r="H338" s="44"/>
      <c r="I338" s="44"/>
      <c r="J338" s="76"/>
    </row>
    <row r="339" spans="2:10" ht="15">
      <c r="B339" s="76"/>
      <c r="C339" s="76"/>
      <c r="D339" s="44"/>
      <c r="E339" s="44"/>
      <c r="F339" s="44"/>
      <c r="G339" s="44"/>
      <c r="H339" s="44"/>
      <c r="I339" s="44"/>
      <c r="J339" s="76"/>
    </row>
    <row r="340" spans="2:10" ht="15">
      <c r="B340" s="76"/>
      <c r="C340" s="76"/>
      <c r="D340" s="44"/>
      <c r="E340" s="44"/>
      <c r="F340" s="44"/>
      <c r="G340" s="44"/>
      <c r="H340" s="44"/>
      <c r="I340" s="44"/>
      <c r="J340" s="76"/>
    </row>
    <row r="341" spans="2:10" ht="15">
      <c r="B341" s="76"/>
      <c r="C341" s="76"/>
      <c r="D341" s="44"/>
      <c r="E341" s="44"/>
      <c r="F341" s="44"/>
      <c r="G341" s="44"/>
      <c r="H341" s="44"/>
      <c r="I341" s="44"/>
      <c r="J341" s="76"/>
    </row>
    <row r="342" spans="2:10" ht="15">
      <c r="B342" s="76"/>
      <c r="C342" s="76"/>
      <c r="D342" s="44"/>
      <c r="E342" s="44"/>
      <c r="F342" s="44"/>
      <c r="G342" s="44"/>
      <c r="H342" s="44"/>
      <c r="I342" s="44"/>
      <c r="J342" s="76"/>
    </row>
    <row r="343" spans="2:10" ht="15">
      <c r="B343" s="76"/>
      <c r="C343" s="76"/>
      <c r="D343" s="44"/>
      <c r="E343" s="44"/>
      <c r="F343" s="44"/>
      <c r="G343" s="44"/>
      <c r="H343" s="44"/>
      <c r="I343" s="44"/>
      <c r="J343" s="76"/>
    </row>
    <row r="344" spans="2:10" ht="15">
      <c r="B344" s="76"/>
      <c r="C344" s="76"/>
      <c r="D344" s="44"/>
      <c r="E344" s="44"/>
      <c r="F344" s="44"/>
      <c r="G344" s="44"/>
      <c r="H344" s="44"/>
      <c r="I344" s="44"/>
      <c r="J344" s="76"/>
    </row>
    <row r="345" spans="2:10" ht="15">
      <c r="B345" s="76"/>
      <c r="C345" s="76"/>
      <c r="D345" s="44"/>
      <c r="E345" s="44"/>
      <c r="F345" s="44"/>
      <c r="G345" s="44"/>
      <c r="H345" s="44"/>
      <c r="I345" s="44"/>
      <c r="J345" s="76"/>
    </row>
    <row r="346" spans="2:10" ht="15">
      <c r="B346" s="76"/>
      <c r="C346" s="76"/>
      <c r="D346" s="44"/>
      <c r="E346" s="44"/>
      <c r="F346" s="44"/>
      <c r="G346" s="44"/>
      <c r="H346" s="44"/>
      <c r="I346" s="44"/>
      <c r="J346" s="76"/>
    </row>
    <row r="347" spans="2:10" ht="15">
      <c r="B347" s="76"/>
      <c r="C347" s="76"/>
      <c r="D347" s="44"/>
      <c r="E347" s="44"/>
      <c r="F347" s="44"/>
      <c r="G347" s="44"/>
      <c r="H347" s="44"/>
      <c r="I347" s="44"/>
      <c r="J347" s="76"/>
    </row>
    <row r="348" spans="2:10" ht="15">
      <c r="B348" s="76"/>
      <c r="C348" s="76"/>
      <c r="D348" s="44"/>
      <c r="E348" s="44"/>
      <c r="F348" s="44"/>
      <c r="G348" s="44"/>
      <c r="H348" s="44"/>
      <c r="I348" s="44"/>
      <c r="J348" s="76"/>
    </row>
    <row r="349" spans="2:10" ht="15">
      <c r="B349" s="76"/>
      <c r="C349" s="76"/>
      <c r="D349" s="44"/>
      <c r="E349" s="44"/>
      <c r="F349" s="44"/>
      <c r="G349" s="44"/>
      <c r="H349" s="44"/>
      <c r="I349" s="44"/>
      <c r="J349" s="76"/>
    </row>
    <row r="350" spans="2:10" ht="15">
      <c r="B350" s="76"/>
      <c r="C350" s="76"/>
      <c r="D350" s="44"/>
      <c r="E350" s="44"/>
      <c r="F350" s="44"/>
      <c r="G350" s="44"/>
      <c r="H350" s="44"/>
      <c r="I350" s="44"/>
      <c r="J350" s="76"/>
    </row>
    <row r="351" spans="2:10" ht="15">
      <c r="B351" s="76"/>
      <c r="C351" s="76"/>
      <c r="D351" s="44"/>
      <c r="E351" s="44"/>
      <c r="F351" s="44"/>
      <c r="G351" s="44"/>
      <c r="H351" s="44"/>
      <c r="I351" s="44"/>
      <c r="J351" s="76"/>
    </row>
    <row r="352" spans="2:10" ht="15">
      <c r="B352" s="76"/>
      <c r="C352" s="76"/>
      <c r="D352" s="44"/>
      <c r="E352" s="44"/>
      <c r="F352" s="44"/>
      <c r="G352" s="44"/>
      <c r="H352" s="44"/>
      <c r="I352" s="44"/>
      <c r="J352" s="76"/>
    </row>
    <row r="353" spans="2:10" ht="15">
      <c r="B353" s="76"/>
      <c r="C353" s="76"/>
      <c r="D353" s="44"/>
      <c r="E353" s="44"/>
      <c r="F353" s="44"/>
      <c r="G353" s="44"/>
      <c r="H353" s="44"/>
      <c r="I353" s="44"/>
      <c r="J353" s="76"/>
    </row>
    <row r="354" spans="2:10" ht="15">
      <c r="B354" s="76"/>
      <c r="C354" s="76"/>
      <c r="D354" s="44"/>
      <c r="E354" s="44"/>
      <c r="F354" s="44"/>
      <c r="G354" s="44"/>
      <c r="H354" s="44"/>
      <c r="I354" s="44"/>
      <c r="J354" s="76"/>
    </row>
    <row r="355" spans="2:10" ht="15">
      <c r="B355" s="76"/>
      <c r="C355" s="76"/>
      <c r="D355" s="44"/>
      <c r="E355" s="44"/>
      <c r="F355" s="44"/>
      <c r="G355" s="44"/>
      <c r="H355" s="44"/>
      <c r="I355" s="44"/>
      <c r="J355" s="76"/>
    </row>
    <row r="356" spans="2:10" ht="15">
      <c r="B356" s="76"/>
      <c r="C356" s="76"/>
      <c r="D356" s="44"/>
      <c r="E356" s="44"/>
      <c r="F356" s="44"/>
      <c r="G356" s="44"/>
      <c r="H356" s="44"/>
      <c r="I356" s="44"/>
      <c r="J356" s="76"/>
    </row>
    <row r="357" spans="2:10" ht="15">
      <c r="B357" s="76"/>
      <c r="C357" s="76"/>
      <c r="D357" s="44"/>
      <c r="E357" s="44"/>
      <c r="F357" s="44"/>
      <c r="G357" s="44"/>
      <c r="H357" s="44"/>
      <c r="I357" s="44"/>
      <c r="J357" s="76"/>
    </row>
    <row r="358" spans="2:10" ht="15">
      <c r="B358" s="76"/>
      <c r="C358" s="76"/>
      <c r="D358" s="44"/>
      <c r="E358" s="44"/>
      <c r="F358" s="44"/>
      <c r="G358" s="44"/>
      <c r="H358" s="44"/>
      <c r="I358" s="44"/>
      <c r="J358" s="76"/>
    </row>
    <row r="359" spans="2:10" ht="15">
      <c r="B359" s="76"/>
      <c r="C359" s="76"/>
      <c r="D359" s="44"/>
      <c r="E359" s="44"/>
      <c r="F359" s="44"/>
      <c r="G359" s="44"/>
      <c r="H359" s="44"/>
      <c r="I359" s="44"/>
      <c r="J359" s="76"/>
    </row>
    <row r="360" spans="2:10" ht="15">
      <c r="B360" s="76"/>
      <c r="C360" s="76"/>
      <c r="D360" s="44"/>
      <c r="E360" s="44"/>
      <c r="F360" s="44"/>
      <c r="G360" s="44"/>
      <c r="H360" s="44"/>
      <c r="I360" s="44"/>
      <c r="J360" s="76"/>
    </row>
    <row r="361" spans="2:10" ht="15">
      <c r="B361" s="76"/>
      <c r="C361" s="76"/>
      <c r="D361" s="44"/>
      <c r="E361" s="44"/>
      <c r="F361" s="44"/>
      <c r="G361" s="44"/>
      <c r="H361" s="44"/>
      <c r="I361" s="44"/>
      <c r="J361" s="76"/>
    </row>
    <row r="362" spans="2:10" ht="15">
      <c r="B362" s="76"/>
      <c r="C362" s="76"/>
      <c r="D362" s="44"/>
      <c r="E362" s="44"/>
      <c r="F362" s="44"/>
      <c r="G362" s="44"/>
      <c r="H362" s="44"/>
      <c r="I362" s="44"/>
      <c r="J362" s="76"/>
    </row>
    <row r="363" spans="2:10" ht="15">
      <c r="B363" s="76"/>
      <c r="C363" s="76"/>
      <c r="D363" s="44"/>
      <c r="E363" s="44"/>
      <c r="F363" s="44"/>
      <c r="G363" s="44"/>
      <c r="H363" s="44"/>
      <c r="I363" s="44"/>
      <c r="J363" s="76"/>
    </row>
    <row r="364" spans="2:10" ht="15">
      <c r="B364" s="76"/>
      <c r="C364" s="76"/>
      <c r="D364" s="44"/>
      <c r="E364" s="44"/>
      <c r="F364" s="44"/>
      <c r="G364" s="44"/>
      <c r="H364" s="44"/>
      <c r="I364" s="44"/>
      <c r="J364" s="76"/>
    </row>
    <row r="365" spans="2:10" ht="15">
      <c r="B365" s="76"/>
      <c r="C365" s="76"/>
      <c r="D365" s="44"/>
      <c r="E365" s="44"/>
      <c r="F365" s="44"/>
      <c r="G365" s="44"/>
      <c r="H365" s="44"/>
      <c r="I365" s="44"/>
      <c r="J365" s="76"/>
    </row>
    <row r="366" spans="2:10" ht="15">
      <c r="B366" s="76"/>
      <c r="C366" s="76"/>
      <c r="D366" s="44"/>
      <c r="E366" s="44"/>
      <c r="F366" s="44"/>
      <c r="G366" s="44"/>
      <c r="H366" s="44"/>
      <c r="I366" s="44"/>
      <c r="J366" s="76"/>
    </row>
    <row r="367" spans="2:10" ht="15">
      <c r="B367" s="76"/>
      <c r="C367" s="76"/>
      <c r="D367" s="44"/>
      <c r="E367" s="44"/>
      <c r="F367" s="44"/>
      <c r="G367" s="44"/>
      <c r="H367" s="44"/>
      <c r="I367" s="44"/>
      <c r="J367" s="76"/>
    </row>
    <row r="368" spans="2:10" ht="15">
      <c r="B368" s="76"/>
      <c r="C368" s="76"/>
      <c r="D368" s="44"/>
      <c r="E368" s="44"/>
      <c r="F368" s="44"/>
      <c r="G368" s="44"/>
      <c r="H368" s="44"/>
      <c r="I368" s="44"/>
      <c r="J368" s="76"/>
    </row>
    <row r="369" spans="2:10" ht="15">
      <c r="B369" s="76"/>
      <c r="C369" s="76"/>
      <c r="D369" s="44"/>
      <c r="E369" s="44"/>
      <c r="F369" s="44"/>
      <c r="G369" s="44"/>
      <c r="H369" s="44"/>
      <c r="I369" s="44"/>
      <c r="J369" s="76"/>
    </row>
    <row r="370" spans="2:10" ht="15">
      <c r="B370" s="76"/>
      <c r="C370" s="76"/>
      <c r="D370" s="44"/>
      <c r="E370" s="44"/>
      <c r="F370" s="44"/>
      <c r="G370" s="44"/>
      <c r="H370" s="44"/>
      <c r="I370" s="44"/>
      <c r="J370" s="76"/>
    </row>
    <row r="371" spans="2:10" ht="15">
      <c r="B371" s="76"/>
      <c r="C371" s="76"/>
      <c r="D371" s="44"/>
      <c r="E371" s="44"/>
      <c r="F371" s="44"/>
      <c r="G371" s="44"/>
      <c r="H371" s="44"/>
      <c r="I371" s="44"/>
      <c r="J371" s="76"/>
    </row>
    <row r="372" spans="2:10" ht="15">
      <c r="B372" s="76"/>
      <c r="C372" s="76"/>
      <c r="D372" s="44"/>
      <c r="E372" s="44"/>
      <c r="F372" s="44"/>
      <c r="G372" s="44"/>
      <c r="H372" s="44"/>
      <c r="I372" s="44"/>
      <c r="J372" s="76"/>
    </row>
    <row r="373" spans="2:10" ht="15">
      <c r="B373" s="76"/>
      <c r="C373" s="76"/>
      <c r="D373" s="44"/>
      <c r="E373" s="44"/>
      <c r="F373" s="44"/>
      <c r="G373" s="44"/>
      <c r="H373" s="44"/>
      <c r="I373" s="44"/>
      <c r="J373" s="76"/>
    </row>
    <row r="374" spans="2:10" ht="15">
      <c r="B374" s="76"/>
      <c r="C374" s="76"/>
      <c r="D374" s="44"/>
      <c r="E374" s="44"/>
      <c r="F374" s="44"/>
      <c r="G374" s="44"/>
      <c r="H374" s="44"/>
      <c r="I374" s="44"/>
      <c r="J374" s="76"/>
    </row>
    <row r="375" spans="2:10" ht="15">
      <c r="B375" s="76"/>
      <c r="C375" s="76"/>
      <c r="D375" s="44"/>
      <c r="E375" s="44"/>
      <c r="F375" s="44"/>
      <c r="G375" s="44"/>
      <c r="H375" s="44"/>
      <c r="I375" s="44"/>
      <c r="J375" s="76"/>
    </row>
    <row r="376" spans="2:10" ht="15">
      <c r="B376" s="76"/>
      <c r="C376" s="76"/>
      <c r="D376" s="44"/>
      <c r="E376" s="44"/>
      <c r="F376" s="44"/>
      <c r="G376" s="44"/>
      <c r="H376" s="44"/>
      <c r="I376" s="44"/>
      <c r="J376" s="76"/>
    </row>
    <row r="377" spans="2:10" ht="15">
      <c r="B377" s="76"/>
      <c r="C377" s="76"/>
      <c r="D377" s="44"/>
      <c r="E377" s="44"/>
      <c r="F377" s="44"/>
      <c r="G377" s="44"/>
      <c r="H377" s="44"/>
      <c r="I377" s="44"/>
      <c r="J377" s="76"/>
    </row>
    <row r="378" spans="2:10" ht="15">
      <c r="B378" s="76"/>
      <c r="C378" s="76"/>
      <c r="D378" s="44"/>
      <c r="E378" s="44"/>
      <c r="F378" s="44"/>
      <c r="G378" s="44"/>
      <c r="H378" s="44"/>
      <c r="I378" s="44"/>
      <c r="J378" s="76"/>
    </row>
    <row r="379" spans="2:10" ht="15">
      <c r="B379" s="76"/>
      <c r="C379" s="76"/>
      <c r="D379" s="44"/>
      <c r="E379" s="44"/>
      <c r="F379" s="44"/>
      <c r="G379" s="44"/>
      <c r="H379" s="44"/>
      <c r="I379" s="44"/>
      <c r="J379" s="76"/>
    </row>
    <row r="380" spans="2:10" ht="15">
      <c r="B380" s="76"/>
      <c r="C380" s="76"/>
      <c r="D380" s="44"/>
      <c r="E380" s="44"/>
      <c r="F380" s="44"/>
      <c r="G380" s="44"/>
      <c r="H380" s="44"/>
      <c r="I380" s="44"/>
      <c r="J380" s="76"/>
    </row>
    <row r="381" spans="2:10" ht="15">
      <c r="B381" s="76"/>
      <c r="C381" s="76"/>
      <c r="D381" s="44"/>
      <c r="E381" s="44"/>
      <c r="F381" s="44"/>
      <c r="G381" s="44"/>
      <c r="H381" s="44"/>
      <c r="I381" s="44"/>
      <c r="J381" s="76"/>
    </row>
    <row r="382" spans="2:10" ht="15">
      <c r="B382" s="76"/>
      <c r="C382" s="76"/>
      <c r="D382" s="44"/>
      <c r="E382" s="44"/>
      <c r="F382" s="44"/>
      <c r="G382" s="44"/>
      <c r="H382" s="44"/>
      <c r="I382" s="44"/>
      <c r="J382" s="76"/>
    </row>
    <row r="383" spans="2:10" ht="15">
      <c r="B383" s="76"/>
      <c r="C383" s="76"/>
      <c r="D383" s="44"/>
      <c r="E383" s="44"/>
      <c r="F383" s="44"/>
      <c r="G383" s="44"/>
      <c r="H383" s="44"/>
      <c r="I383" s="44"/>
      <c r="J383" s="76"/>
    </row>
    <row r="384" spans="2:10" ht="15">
      <c r="B384" s="76"/>
      <c r="C384" s="76"/>
      <c r="D384" s="44"/>
      <c r="E384" s="44"/>
      <c r="F384" s="44"/>
      <c r="G384" s="44"/>
      <c r="H384" s="44"/>
      <c r="I384" s="44"/>
      <c r="J384" s="76"/>
    </row>
    <row r="385" spans="2:10" ht="15">
      <c r="B385" s="76"/>
      <c r="C385" s="76"/>
      <c r="D385" s="44"/>
      <c r="E385" s="44"/>
      <c r="F385" s="44"/>
      <c r="G385" s="44"/>
      <c r="H385" s="44"/>
      <c r="I385" s="44"/>
      <c r="J385" s="76"/>
    </row>
    <row r="386" spans="2:10" ht="15">
      <c r="B386" s="76"/>
      <c r="C386" s="76"/>
      <c r="D386" s="44"/>
      <c r="E386" s="44"/>
      <c r="F386" s="44"/>
      <c r="G386" s="44"/>
      <c r="H386" s="44"/>
      <c r="I386" s="44"/>
      <c r="J386" s="76"/>
    </row>
    <row r="387" spans="2:10" ht="15">
      <c r="B387" s="76"/>
      <c r="C387" s="76"/>
      <c r="D387" s="44"/>
      <c r="E387" s="44"/>
      <c r="F387" s="44"/>
      <c r="G387" s="44"/>
      <c r="H387" s="44"/>
      <c r="I387" s="44"/>
      <c r="J387" s="76"/>
    </row>
    <row r="388" spans="2:10" ht="15">
      <c r="B388" s="76"/>
      <c r="C388" s="76"/>
      <c r="D388" s="44"/>
      <c r="E388" s="44"/>
      <c r="F388" s="44"/>
      <c r="G388" s="44"/>
      <c r="H388" s="44"/>
      <c r="I388" s="44"/>
      <c r="J388" s="76"/>
    </row>
    <row r="389" spans="2:10" ht="15">
      <c r="B389" s="76"/>
      <c r="C389" s="76"/>
      <c r="D389" s="44"/>
      <c r="E389" s="44"/>
      <c r="F389" s="44"/>
      <c r="G389" s="44"/>
      <c r="H389" s="44"/>
      <c r="I389" s="44"/>
      <c r="J389" s="76"/>
    </row>
    <row r="390" spans="2:10" ht="15">
      <c r="B390" s="76"/>
      <c r="C390" s="76"/>
      <c r="D390" s="44"/>
      <c r="E390" s="44"/>
      <c r="F390" s="44"/>
      <c r="G390" s="44"/>
      <c r="H390" s="44"/>
      <c r="I390" s="44"/>
      <c r="J390" s="76"/>
    </row>
    <row r="391" spans="2:10" ht="15">
      <c r="B391" s="76"/>
      <c r="C391" s="76"/>
      <c r="D391" s="44"/>
      <c r="E391" s="44"/>
      <c r="F391" s="44"/>
      <c r="G391" s="44"/>
      <c r="H391" s="44"/>
      <c r="I391" s="44"/>
      <c r="J391" s="76"/>
    </row>
    <row r="392" spans="2:10" ht="15">
      <c r="B392" s="76"/>
      <c r="C392" s="76"/>
      <c r="D392" s="44"/>
      <c r="E392" s="44"/>
      <c r="F392" s="44"/>
      <c r="G392" s="44"/>
      <c r="H392" s="44"/>
      <c r="I392" s="44"/>
      <c r="J392" s="76"/>
    </row>
    <row r="393" spans="2:10" ht="15">
      <c r="B393" s="76"/>
      <c r="C393" s="76"/>
      <c r="D393" s="44"/>
      <c r="E393" s="44"/>
      <c r="F393" s="44"/>
      <c r="G393" s="44"/>
      <c r="H393" s="44"/>
      <c r="I393" s="44"/>
      <c r="J393" s="76"/>
    </row>
    <row r="394" spans="2:10" ht="15">
      <c r="B394" s="76"/>
      <c r="C394" s="76"/>
      <c r="D394" s="44"/>
      <c r="E394" s="44"/>
      <c r="F394" s="44"/>
      <c r="G394" s="44"/>
      <c r="H394" s="44"/>
      <c r="I394" s="44"/>
      <c r="J394" s="76"/>
    </row>
    <row r="395" spans="2:10" ht="15">
      <c r="B395" s="76"/>
      <c r="C395" s="76"/>
      <c r="D395" s="44"/>
      <c r="E395" s="44"/>
      <c r="F395" s="44"/>
      <c r="G395" s="44"/>
      <c r="H395" s="44"/>
      <c r="I395" s="44"/>
      <c r="J395" s="76"/>
    </row>
    <row r="396" spans="2:10" ht="15">
      <c r="B396" s="76"/>
      <c r="C396" s="76"/>
      <c r="D396" s="44"/>
      <c r="E396" s="44"/>
      <c r="F396" s="44"/>
      <c r="G396" s="44"/>
      <c r="H396" s="44"/>
      <c r="I396" s="44"/>
      <c r="J396" s="76"/>
    </row>
    <row r="397" spans="2:10" ht="15">
      <c r="B397" s="76"/>
      <c r="C397" s="76"/>
      <c r="D397" s="44"/>
      <c r="E397" s="44"/>
      <c r="F397" s="44"/>
      <c r="G397" s="44"/>
      <c r="H397" s="44"/>
      <c r="I397" s="44"/>
      <c r="J397" s="76"/>
    </row>
    <row r="398" spans="2:10" ht="15">
      <c r="B398" s="76"/>
      <c r="C398" s="76"/>
      <c r="D398" s="44"/>
      <c r="E398" s="44"/>
      <c r="F398" s="44"/>
      <c r="G398" s="44"/>
      <c r="H398" s="44"/>
      <c r="I398" s="44"/>
      <c r="J398" s="76"/>
    </row>
    <row r="399" spans="2:10" ht="15">
      <c r="B399" s="76"/>
      <c r="C399" s="76"/>
      <c r="D399" s="44"/>
      <c r="E399" s="44"/>
      <c r="F399" s="44"/>
      <c r="G399" s="44"/>
      <c r="H399" s="44"/>
      <c r="I399" s="44"/>
      <c r="J399" s="76"/>
    </row>
    <row r="400" spans="2:10" ht="15">
      <c r="B400" s="76"/>
      <c r="C400" s="76"/>
      <c r="D400" s="44"/>
      <c r="E400" s="44"/>
      <c r="F400" s="44"/>
      <c r="G400" s="44"/>
      <c r="H400" s="44"/>
      <c r="I400" s="44"/>
      <c r="J400" s="76"/>
    </row>
    <row r="401" spans="2:10" ht="15">
      <c r="B401" s="76"/>
      <c r="C401" s="76"/>
      <c r="D401" s="44"/>
      <c r="E401" s="44"/>
      <c r="F401" s="44"/>
      <c r="G401" s="44"/>
      <c r="H401" s="44"/>
      <c r="I401" s="44"/>
      <c r="J401" s="76"/>
    </row>
    <row r="402" spans="2:10" ht="15">
      <c r="B402" s="76"/>
      <c r="C402" s="76"/>
      <c r="D402" s="44"/>
      <c r="E402" s="44"/>
      <c r="F402" s="44"/>
      <c r="G402" s="44"/>
      <c r="H402" s="44"/>
      <c r="I402" s="44"/>
      <c r="J402" s="76"/>
    </row>
    <row r="403" spans="2:10" ht="15">
      <c r="B403" s="76"/>
      <c r="C403" s="76"/>
      <c r="D403" s="44"/>
      <c r="E403" s="44"/>
      <c r="F403" s="44"/>
      <c r="G403" s="44"/>
      <c r="H403" s="44"/>
      <c r="I403" s="44"/>
      <c r="J403" s="76"/>
    </row>
    <row r="404" spans="2:10" ht="15">
      <c r="B404" s="76"/>
      <c r="C404" s="76"/>
      <c r="D404" s="44"/>
      <c r="E404" s="44"/>
      <c r="F404" s="44"/>
      <c r="G404" s="44"/>
      <c r="H404" s="44"/>
      <c r="I404" s="44"/>
      <c r="J404" s="76"/>
    </row>
    <row r="405" spans="2:10" ht="15">
      <c r="B405" s="76"/>
      <c r="C405" s="76"/>
      <c r="D405" s="44"/>
      <c r="E405" s="44"/>
      <c r="F405" s="44"/>
      <c r="G405" s="44"/>
      <c r="H405" s="44"/>
      <c r="I405" s="44"/>
      <c r="J405" s="76"/>
    </row>
    <row r="406" spans="2:10" ht="15">
      <c r="B406" s="76"/>
      <c r="C406" s="76"/>
      <c r="D406" s="44"/>
      <c r="E406" s="44"/>
      <c r="F406" s="44"/>
      <c r="G406" s="44"/>
      <c r="H406" s="44"/>
      <c r="I406" s="44"/>
      <c r="J406" s="76"/>
    </row>
    <row r="407" spans="2:10" ht="15">
      <c r="B407" s="76"/>
      <c r="C407" s="76"/>
      <c r="D407" s="44"/>
      <c r="E407" s="44"/>
      <c r="F407" s="44"/>
      <c r="G407" s="44"/>
      <c r="H407" s="44"/>
      <c r="I407" s="44"/>
      <c r="J407" s="76"/>
    </row>
    <row r="408" spans="2:10" ht="15">
      <c r="B408" s="76"/>
      <c r="C408" s="76"/>
      <c r="D408" s="44"/>
      <c r="E408" s="44"/>
      <c r="F408" s="44"/>
      <c r="G408" s="44"/>
      <c r="H408" s="44"/>
      <c r="I408" s="44"/>
      <c r="J408" s="76"/>
    </row>
    <row r="409" spans="2:10" ht="15">
      <c r="B409" s="76"/>
      <c r="C409" s="76"/>
      <c r="D409" s="44"/>
      <c r="E409" s="44"/>
      <c r="F409" s="44"/>
      <c r="G409" s="44"/>
      <c r="H409" s="44"/>
      <c r="I409" s="44"/>
      <c r="J409" s="76"/>
    </row>
    <row r="410" spans="2:10" ht="15">
      <c r="B410" s="76"/>
      <c r="C410" s="76"/>
      <c r="D410" s="44"/>
      <c r="E410" s="44"/>
      <c r="F410" s="44"/>
      <c r="G410" s="44"/>
      <c r="H410" s="44"/>
      <c r="I410" s="44"/>
      <c r="J410" s="76"/>
    </row>
    <row r="411" spans="2:10" ht="15">
      <c r="B411" s="76"/>
      <c r="C411" s="76"/>
      <c r="D411" s="44"/>
      <c r="E411" s="44"/>
      <c r="F411" s="44"/>
      <c r="G411" s="44"/>
      <c r="H411" s="44"/>
      <c r="I411" s="44"/>
      <c r="J411" s="76"/>
    </row>
    <row r="412" spans="2:10" ht="15">
      <c r="B412" s="76"/>
      <c r="C412" s="76"/>
      <c r="D412" s="44"/>
      <c r="E412" s="44"/>
      <c r="F412" s="44"/>
      <c r="G412" s="44"/>
      <c r="H412" s="44"/>
      <c r="I412" s="44"/>
      <c r="J412" s="76"/>
    </row>
    <row r="413" spans="2:10" ht="15">
      <c r="B413" s="76"/>
      <c r="C413" s="76"/>
      <c r="D413" s="44"/>
      <c r="E413" s="44"/>
      <c r="F413" s="44"/>
      <c r="G413" s="44"/>
      <c r="H413" s="44"/>
      <c r="I413" s="44"/>
      <c r="J413" s="76"/>
    </row>
    <row r="414" spans="2:10" ht="15">
      <c r="B414" s="76"/>
      <c r="C414" s="76"/>
      <c r="D414" s="44"/>
      <c r="E414" s="44"/>
      <c r="F414" s="44"/>
      <c r="G414" s="44"/>
      <c r="H414" s="44"/>
      <c r="I414" s="44"/>
      <c r="J414" s="76"/>
    </row>
    <row r="415" spans="2:10" ht="15">
      <c r="B415" s="76"/>
      <c r="C415" s="76"/>
      <c r="D415" s="44"/>
      <c r="E415" s="44"/>
      <c r="F415" s="44"/>
      <c r="G415" s="44"/>
      <c r="H415" s="44"/>
      <c r="I415" s="44"/>
      <c r="J415" s="76"/>
    </row>
    <row r="416" spans="2:10" ht="15">
      <c r="B416" s="76"/>
      <c r="C416" s="76"/>
      <c r="D416" s="44"/>
      <c r="E416" s="44"/>
      <c r="F416" s="44"/>
      <c r="G416" s="44"/>
      <c r="H416" s="44"/>
      <c r="I416" s="44"/>
      <c r="J416" s="76"/>
    </row>
    <row r="417" spans="2:10" ht="15">
      <c r="B417" s="76"/>
      <c r="C417" s="76"/>
      <c r="D417" s="44"/>
      <c r="E417" s="44"/>
      <c r="F417" s="44"/>
      <c r="G417" s="44"/>
      <c r="H417" s="44"/>
      <c r="I417" s="44"/>
      <c r="J417" s="76"/>
    </row>
    <row r="418" spans="2:10" ht="15">
      <c r="B418" s="76"/>
      <c r="C418" s="76"/>
      <c r="D418" s="44"/>
      <c r="E418" s="44"/>
      <c r="F418" s="44"/>
      <c r="G418" s="44"/>
      <c r="H418" s="44"/>
      <c r="I418" s="44"/>
      <c r="J418" s="76"/>
    </row>
    <row r="419" spans="2:10" ht="15">
      <c r="B419" s="76"/>
      <c r="C419" s="76"/>
      <c r="D419" s="44"/>
      <c r="E419" s="44"/>
      <c r="F419" s="44"/>
      <c r="G419" s="44"/>
      <c r="H419" s="44"/>
      <c r="I419" s="44"/>
      <c r="J419" s="76"/>
    </row>
    <row r="420" spans="2:10" ht="15">
      <c r="B420" s="76"/>
      <c r="C420" s="76"/>
      <c r="D420" s="44"/>
      <c r="E420" s="44"/>
      <c r="F420" s="44"/>
      <c r="G420" s="44"/>
      <c r="H420" s="44"/>
      <c r="I420" s="44"/>
      <c r="J420" s="76"/>
    </row>
    <row r="421" spans="2:10" ht="15">
      <c r="B421" s="76"/>
      <c r="C421" s="76"/>
      <c r="D421" s="44"/>
      <c r="E421" s="44"/>
      <c r="F421" s="44"/>
      <c r="G421" s="44"/>
      <c r="H421" s="44"/>
      <c r="I421" s="44"/>
      <c r="J421" s="76"/>
    </row>
    <row r="422" spans="2:10" ht="15">
      <c r="B422" s="76"/>
      <c r="C422" s="76"/>
      <c r="D422" s="44"/>
      <c r="E422" s="44"/>
      <c r="F422" s="44"/>
      <c r="G422" s="44"/>
      <c r="H422" s="44"/>
      <c r="I422" s="44"/>
      <c r="J422" s="76"/>
    </row>
    <row r="423" spans="2:10" ht="15">
      <c r="B423" s="76"/>
      <c r="C423" s="76"/>
      <c r="D423" s="44"/>
      <c r="E423" s="44"/>
      <c r="F423" s="44"/>
      <c r="G423" s="44"/>
      <c r="H423" s="44"/>
      <c r="I423" s="44"/>
      <c r="J423" s="76"/>
    </row>
    <row r="424" spans="2:10" ht="15">
      <c r="B424" s="76"/>
      <c r="C424" s="76"/>
      <c r="D424" s="44"/>
      <c r="E424" s="44"/>
      <c r="F424" s="44"/>
      <c r="G424" s="44"/>
      <c r="H424" s="44"/>
      <c r="I424" s="44"/>
      <c r="J424" s="76"/>
    </row>
    <row r="425" spans="2:10" ht="15">
      <c r="B425" s="76"/>
      <c r="C425" s="76"/>
      <c r="D425" s="44"/>
      <c r="E425" s="44"/>
      <c r="F425" s="44"/>
      <c r="G425" s="44"/>
      <c r="H425" s="44"/>
      <c r="I425" s="44"/>
      <c r="J425" s="76"/>
    </row>
    <row r="426" spans="2:10" ht="15">
      <c r="B426" s="76"/>
      <c r="C426" s="76"/>
      <c r="D426" s="44"/>
      <c r="E426" s="44"/>
      <c r="F426" s="44"/>
      <c r="G426" s="44"/>
      <c r="H426" s="44"/>
      <c r="I426" s="44"/>
      <c r="J426" s="76"/>
    </row>
    <row r="427" spans="2:10" ht="15">
      <c r="B427" s="76"/>
      <c r="C427" s="76"/>
      <c r="D427" s="44"/>
      <c r="E427" s="44"/>
      <c r="F427" s="44"/>
      <c r="G427" s="44"/>
      <c r="H427" s="44"/>
      <c r="I427" s="44"/>
      <c r="J427" s="76"/>
    </row>
    <row r="428" spans="2:10" ht="15">
      <c r="B428" s="76"/>
      <c r="C428" s="76"/>
      <c r="D428" s="44"/>
      <c r="E428" s="44"/>
      <c r="F428" s="44"/>
      <c r="G428" s="44"/>
      <c r="H428" s="44"/>
      <c r="I428" s="44"/>
      <c r="J428" s="76"/>
    </row>
    <row r="429" spans="2:10" ht="15">
      <c r="B429" s="76"/>
      <c r="C429" s="76"/>
      <c r="D429" s="44"/>
      <c r="E429" s="44"/>
      <c r="F429" s="44"/>
      <c r="G429" s="44"/>
      <c r="H429" s="44"/>
      <c r="I429" s="44"/>
      <c r="J429" s="76"/>
    </row>
    <row r="430" spans="2:10" ht="15">
      <c r="B430" s="76"/>
      <c r="C430" s="76"/>
      <c r="D430" s="44"/>
      <c r="E430" s="44"/>
      <c r="F430" s="44"/>
      <c r="G430" s="44"/>
      <c r="H430" s="44"/>
      <c r="I430" s="44"/>
      <c r="J430" s="76"/>
    </row>
    <row r="431" spans="2:10" ht="15">
      <c r="B431" s="76"/>
      <c r="C431" s="76"/>
      <c r="D431" s="44"/>
      <c r="E431" s="44"/>
      <c r="F431" s="44"/>
      <c r="G431" s="44"/>
      <c r="H431" s="44"/>
      <c r="I431" s="44"/>
      <c r="J431" s="76"/>
    </row>
    <row r="432" spans="2:10" ht="15">
      <c r="B432" s="76"/>
      <c r="C432" s="76"/>
      <c r="D432" s="44"/>
      <c r="E432" s="44"/>
      <c r="F432" s="44"/>
      <c r="G432" s="44"/>
      <c r="H432" s="44"/>
      <c r="I432" s="44"/>
      <c r="J432" s="76"/>
    </row>
    <row r="433" spans="2:10" ht="15">
      <c r="B433" s="76"/>
      <c r="C433" s="76"/>
      <c r="D433" s="44"/>
      <c r="E433" s="44"/>
      <c r="F433" s="44"/>
      <c r="G433" s="44"/>
      <c r="H433" s="44"/>
      <c r="I433" s="44"/>
      <c r="J433" s="76"/>
    </row>
    <row r="434" spans="2:10" ht="15">
      <c r="B434" s="76"/>
      <c r="C434" s="76"/>
      <c r="D434" s="44"/>
      <c r="E434" s="44"/>
      <c r="F434" s="44"/>
      <c r="G434" s="44"/>
      <c r="H434" s="44"/>
      <c r="I434" s="44"/>
      <c r="J434" s="76"/>
    </row>
    <row r="435" spans="2:10" ht="15">
      <c r="B435" s="76"/>
      <c r="C435" s="76"/>
      <c r="D435" s="44"/>
      <c r="E435" s="44"/>
      <c r="F435" s="44"/>
      <c r="G435" s="44"/>
      <c r="H435" s="44"/>
      <c r="I435" s="44"/>
      <c r="J435" s="76"/>
    </row>
    <row r="436" spans="2:10" ht="15">
      <c r="B436" s="76"/>
      <c r="C436" s="76"/>
      <c r="D436" s="44"/>
      <c r="E436" s="44"/>
      <c r="F436" s="44"/>
      <c r="G436" s="44"/>
      <c r="H436" s="44"/>
      <c r="I436" s="44"/>
      <c r="J436" s="76"/>
    </row>
    <row r="437" spans="2:10" ht="15">
      <c r="B437" s="76"/>
      <c r="C437" s="76"/>
      <c r="D437" s="44"/>
      <c r="E437" s="44"/>
      <c r="F437" s="44"/>
      <c r="G437" s="44"/>
      <c r="H437" s="44"/>
      <c r="I437" s="44"/>
      <c r="J437" s="76"/>
    </row>
    <row r="438" spans="2:10" ht="15">
      <c r="B438" s="76"/>
      <c r="C438" s="76"/>
      <c r="D438" s="44"/>
      <c r="E438" s="44"/>
      <c r="F438" s="44"/>
      <c r="G438" s="44"/>
      <c r="H438" s="44"/>
      <c r="I438" s="44"/>
      <c r="J438" s="76"/>
    </row>
    <row r="439" spans="2:10" ht="15">
      <c r="B439" s="76"/>
      <c r="C439" s="76"/>
      <c r="D439" s="44"/>
      <c r="E439" s="44"/>
      <c r="F439" s="44"/>
      <c r="G439" s="44"/>
      <c r="H439" s="44"/>
      <c r="I439" s="44"/>
      <c r="J439" s="76"/>
    </row>
    <row r="440" spans="2:10" ht="15">
      <c r="B440" s="76"/>
      <c r="C440" s="76"/>
      <c r="D440" s="44"/>
      <c r="E440" s="44"/>
      <c r="F440" s="44"/>
      <c r="G440" s="44"/>
      <c r="H440" s="44"/>
      <c r="I440" s="44"/>
      <c r="J440" s="76"/>
    </row>
    <row r="441" spans="2:10" ht="15">
      <c r="B441" s="76"/>
      <c r="C441" s="76"/>
      <c r="D441" s="44"/>
      <c r="E441" s="44"/>
      <c r="F441" s="44"/>
      <c r="G441" s="44"/>
      <c r="H441" s="44"/>
      <c r="I441" s="44"/>
      <c r="J441" s="76"/>
    </row>
    <row r="442" spans="2:10" ht="15">
      <c r="B442" s="76"/>
      <c r="C442" s="76"/>
      <c r="D442" s="44"/>
      <c r="E442" s="44"/>
      <c r="F442" s="44"/>
      <c r="G442" s="44"/>
      <c r="H442" s="44"/>
      <c r="I442" s="44"/>
      <c r="J442" s="76"/>
    </row>
    <row r="443" spans="2:10" ht="15">
      <c r="B443" s="76"/>
      <c r="C443" s="76"/>
      <c r="D443" s="44"/>
      <c r="E443" s="44"/>
      <c r="F443" s="44"/>
      <c r="G443" s="44"/>
      <c r="H443" s="44"/>
      <c r="I443" s="44"/>
      <c r="J443" s="76"/>
    </row>
    <row r="444" spans="2:10" ht="15">
      <c r="B444" s="76"/>
      <c r="C444" s="76"/>
      <c r="D444" s="44"/>
      <c r="E444" s="44"/>
      <c r="F444" s="44"/>
      <c r="G444" s="44"/>
      <c r="H444" s="44"/>
      <c r="I444" s="44"/>
      <c r="J444" s="76"/>
    </row>
    <row r="445" spans="2:10" ht="15">
      <c r="B445" s="76"/>
      <c r="C445" s="76"/>
      <c r="D445" s="44"/>
      <c r="E445" s="44"/>
      <c r="F445" s="44"/>
      <c r="G445" s="44"/>
      <c r="H445" s="44"/>
      <c r="I445" s="44"/>
      <c r="J445" s="76"/>
    </row>
    <row r="446" spans="2:10" ht="15">
      <c r="B446" s="76"/>
      <c r="C446" s="76"/>
      <c r="D446" s="44"/>
      <c r="E446" s="44"/>
      <c r="F446" s="44"/>
      <c r="G446" s="44"/>
      <c r="H446" s="44"/>
      <c r="I446" s="44"/>
      <c r="J446" s="76"/>
    </row>
    <row r="447" spans="2:10" ht="15">
      <c r="B447" s="76"/>
      <c r="C447" s="76"/>
      <c r="D447" s="44"/>
      <c r="E447" s="44"/>
      <c r="F447" s="44"/>
      <c r="G447" s="44"/>
      <c r="H447" s="44"/>
      <c r="I447" s="44"/>
      <c r="J447" s="76"/>
    </row>
    <row r="448" spans="2:10" ht="15">
      <c r="B448" s="76"/>
      <c r="C448" s="76"/>
      <c r="D448" s="44"/>
      <c r="E448" s="44"/>
      <c r="F448" s="44"/>
      <c r="G448" s="44"/>
      <c r="H448" s="44"/>
      <c r="I448" s="44"/>
      <c r="J448" s="76"/>
    </row>
    <row r="449" spans="2:10" ht="15">
      <c r="B449" s="76"/>
      <c r="C449" s="76"/>
      <c r="D449" s="44"/>
      <c r="E449" s="44"/>
      <c r="F449" s="44"/>
      <c r="G449" s="44"/>
      <c r="H449" s="44"/>
      <c r="I449" s="44"/>
      <c r="J449" s="76"/>
    </row>
    <row r="450" spans="2:10" ht="15">
      <c r="B450" s="76"/>
      <c r="C450" s="76"/>
      <c r="D450" s="44"/>
      <c r="E450" s="44"/>
      <c r="F450" s="44"/>
      <c r="G450" s="44"/>
      <c r="H450" s="44"/>
      <c r="I450" s="44"/>
      <c r="J450" s="76"/>
    </row>
    <row r="451" spans="2:10" ht="15">
      <c r="B451" s="76"/>
      <c r="C451" s="76"/>
      <c r="D451" s="44"/>
      <c r="E451" s="44"/>
      <c r="F451" s="44"/>
      <c r="G451" s="44"/>
      <c r="H451" s="44"/>
      <c r="I451" s="44"/>
      <c r="J451" s="76"/>
    </row>
    <row r="452" spans="2:10" ht="15">
      <c r="B452" s="76"/>
      <c r="C452" s="76"/>
      <c r="D452" s="44"/>
      <c r="E452" s="44"/>
      <c r="F452" s="44"/>
      <c r="G452" s="44"/>
      <c r="H452" s="44"/>
      <c r="I452" s="44"/>
      <c r="J452" s="76"/>
    </row>
    <row r="453" spans="2:10" ht="15">
      <c r="B453" s="76"/>
      <c r="C453" s="76"/>
      <c r="D453" s="44"/>
      <c r="E453" s="44"/>
      <c r="F453" s="44"/>
      <c r="G453" s="44"/>
      <c r="H453" s="44"/>
      <c r="I453" s="44"/>
      <c r="J453" s="76"/>
    </row>
    <row r="454" spans="2:10" ht="15">
      <c r="B454" s="76"/>
      <c r="C454" s="76"/>
      <c r="D454" s="44"/>
      <c r="E454" s="44"/>
      <c r="F454" s="44"/>
      <c r="G454" s="44"/>
      <c r="H454" s="44"/>
      <c r="I454" s="44"/>
      <c r="J454" s="76"/>
    </row>
    <row r="455" spans="2:10" ht="15">
      <c r="B455" s="76"/>
      <c r="C455" s="76"/>
      <c r="D455" s="44"/>
      <c r="E455" s="44"/>
      <c r="F455" s="44"/>
      <c r="G455" s="44"/>
      <c r="H455" s="44"/>
      <c r="I455" s="44"/>
      <c r="J455" s="76"/>
    </row>
    <row r="456" spans="2:10" ht="15">
      <c r="B456" s="76"/>
      <c r="C456" s="76"/>
      <c r="D456" s="44"/>
      <c r="E456" s="44"/>
      <c r="F456" s="44"/>
      <c r="G456" s="44"/>
      <c r="H456" s="44"/>
      <c r="I456" s="44"/>
      <c r="J456" s="76"/>
    </row>
    <row r="457" spans="2:10" ht="15">
      <c r="B457" s="76"/>
      <c r="C457" s="76"/>
      <c r="D457" s="44"/>
      <c r="E457" s="44"/>
      <c r="F457" s="44"/>
      <c r="G457" s="44"/>
      <c r="H457" s="44"/>
      <c r="I457" s="44"/>
      <c r="J457" s="76"/>
    </row>
    <row r="458" spans="2:10" ht="15">
      <c r="B458" s="76"/>
      <c r="C458" s="76"/>
      <c r="D458" s="44"/>
      <c r="E458" s="44"/>
      <c r="F458" s="44"/>
      <c r="G458" s="44"/>
      <c r="H458" s="44"/>
      <c r="I458" s="44"/>
      <c r="J458" s="76"/>
    </row>
    <row r="459" spans="2:10" ht="15">
      <c r="B459" s="76"/>
      <c r="C459" s="76"/>
      <c r="D459" s="44"/>
      <c r="E459" s="44"/>
      <c r="F459" s="44"/>
      <c r="G459" s="44"/>
      <c r="H459" s="44"/>
      <c r="I459" s="44"/>
      <c r="J459" s="76"/>
    </row>
    <row r="460" spans="2:10" ht="15">
      <c r="B460" s="76"/>
      <c r="C460" s="76"/>
      <c r="D460" s="44"/>
      <c r="E460" s="44"/>
      <c r="F460" s="44"/>
      <c r="G460" s="44"/>
      <c r="H460" s="44"/>
      <c r="I460" s="44"/>
      <c r="J460" s="76"/>
    </row>
    <row r="461" spans="2:10" ht="15">
      <c r="B461" s="76"/>
      <c r="C461" s="76"/>
      <c r="D461" s="44"/>
      <c r="E461" s="44"/>
      <c r="F461" s="44"/>
      <c r="G461" s="44"/>
      <c r="H461" s="44"/>
      <c r="I461" s="44"/>
      <c r="J461" s="76"/>
    </row>
    <row r="462" spans="2:10" ht="15">
      <c r="B462" s="76"/>
      <c r="C462" s="76"/>
      <c r="D462" s="44"/>
      <c r="E462" s="44"/>
      <c r="F462" s="44"/>
      <c r="G462" s="44"/>
      <c r="H462" s="44"/>
      <c r="I462" s="44"/>
      <c r="J462" s="76"/>
    </row>
    <row r="463" spans="2:10" ht="15">
      <c r="B463" s="76"/>
      <c r="C463" s="76"/>
      <c r="D463" s="44"/>
      <c r="E463" s="44"/>
      <c r="F463" s="44"/>
      <c r="G463" s="44"/>
      <c r="H463" s="44"/>
      <c r="I463" s="44"/>
      <c r="J463" s="76"/>
    </row>
    <row r="464" spans="2:10" ht="15">
      <c r="B464" s="76"/>
      <c r="C464" s="76"/>
      <c r="D464" s="44"/>
      <c r="E464" s="44"/>
      <c r="F464" s="44"/>
      <c r="G464" s="44"/>
      <c r="H464" s="44"/>
      <c r="I464" s="44"/>
      <c r="J464" s="76"/>
    </row>
    <row r="465" spans="2:10" ht="15">
      <c r="B465" s="76"/>
      <c r="C465" s="76"/>
      <c r="D465" s="44"/>
      <c r="E465" s="44"/>
      <c r="F465" s="44"/>
      <c r="G465" s="44"/>
      <c r="H465" s="44"/>
      <c r="I465" s="44"/>
      <c r="J465" s="76"/>
    </row>
    <row r="466" spans="2:10" ht="15">
      <c r="B466" s="76"/>
      <c r="C466" s="76"/>
      <c r="D466" s="44"/>
      <c r="E466" s="44"/>
      <c r="F466" s="44"/>
      <c r="G466" s="44"/>
      <c r="H466" s="44"/>
      <c r="I466" s="44"/>
      <c r="J466" s="76"/>
    </row>
    <row r="467" spans="2:10" ht="15">
      <c r="B467" s="76"/>
      <c r="C467" s="76"/>
      <c r="D467" s="44"/>
      <c r="E467" s="44"/>
      <c r="F467" s="44"/>
      <c r="G467" s="44"/>
      <c r="H467" s="44"/>
      <c r="I467" s="44"/>
      <c r="J467" s="76"/>
    </row>
    <row r="468" spans="2:10" ht="15">
      <c r="B468" s="76"/>
      <c r="C468" s="76"/>
      <c r="D468" s="44"/>
      <c r="E468" s="44"/>
      <c r="F468" s="44"/>
      <c r="G468" s="44"/>
      <c r="H468" s="44"/>
      <c r="I468" s="44"/>
      <c r="J468" s="76"/>
    </row>
    <row r="469" spans="2:10" ht="15">
      <c r="B469" s="76"/>
      <c r="C469" s="76"/>
      <c r="D469" s="44"/>
      <c r="E469" s="44"/>
      <c r="F469" s="44"/>
      <c r="G469" s="44"/>
      <c r="H469" s="44"/>
      <c r="I469" s="44"/>
      <c r="J469" s="76"/>
    </row>
    <row r="470" spans="2:10" ht="15">
      <c r="B470" s="76"/>
      <c r="C470" s="76"/>
      <c r="D470" s="44"/>
      <c r="E470" s="44"/>
      <c r="F470" s="44"/>
      <c r="G470" s="44"/>
      <c r="H470" s="44"/>
      <c r="I470" s="44"/>
      <c r="J470" s="76"/>
    </row>
    <row r="471" spans="2:10" ht="15">
      <c r="B471" s="76"/>
      <c r="C471" s="76"/>
      <c r="D471" s="44"/>
      <c r="E471" s="44"/>
      <c r="F471" s="44"/>
      <c r="G471" s="44"/>
      <c r="H471" s="44"/>
      <c r="I471" s="44"/>
      <c r="J471" s="76"/>
    </row>
    <row r="472" spans="2:10" ht="15">
      <c r="B472" s="76"/>
      <c r="C472" s="76"/>
      <c r="D472" s="44"/>
      <c r="E472" s="44"/>
      <c r="F472" s="44"/>
      <c r="G472" s="44"/>
      <c r="H472" s="44"/>
      <c r="I472" s="44"/>
      <c r="J472" s="76"/>
    </row>
    <row r="473" spans="2:10" ht="15">
      <c r="B473" s="76"/>
      <c r="C473" s="76"/>
      <c r="D473" s="44"/>
      <c r="E473" s="44"/>
      <c r="F473" s="44"/>
      <c r="G473" s="44"/>
      <c r="H473" s="44"/>
      <c r="I473" s="44"/>
      <c r="J473" s="76"/>
    </row>
    <row r="474" spans="2:10" ht="15">
      <c r="B474" s="76"/>
      <c r="C474" s="76"/>
      <c r="D474" s="44"/>
      <c r="E474" s="44"/>
      <c r="F474" s="44"/>
      <c r="G474" s="44"/>
      <c r="H474" s="44"/>
      <c r="I474" s="44"/>
      <c r="J474" s="76"/>
    </row>
    <row r="475" spans="2:10" ht="15">
      <c r="B475" s="76"/>
      <c r="C475" s="76"/>
      <c r="D475" s="44"/>
      <c r="E475" s="44"/>
      <c r="F475" s="44"/>
      <c r="G475" s="44"/>
      <c r="H475" s="44"/>
      <c r="I475" s="44"/>
      <c r="J475" s="76"/>
    </row>
    <row r="476" spans="2:10" ht="15">
      <c r="B476" s="76"/>
      <c r="C476" s="76"/>
      <c r="D476" s="44"/>
      <c r="E476" s="44"/>
      <c r="F476" s="44"/>
      <c r="G476" s="44"/>
      <c r="H476" s="44"/>
      <c r="I476" s="44"/>
      <c r="J476" s="76"/>
    </row>
    <row r="477" spans="2:10" ht="15">
      <c r="B477" s="76"/>
      <c r="C477" s="76"/>
      <c r="D477" s="44"/>
      <c r="E477" s="44"/>
      <c r="F477" s="44"/>
      <c r="G477" s="44"/>
      <c r="H477" s="44"/>
      <c r="I477" s="44"/>
      <c r="J477" s="76"/>
    </row>
    <row r="478" spans="2:10" ht="15">
      <c r="B478" s="76"/>
      <c r="C478" s="76"/>
      <c r="D478" s="44"/>
      <c r="E478" s="44"/>
      <c r="F478" s="44"/>
      <c r="G478" s="44"/>
      <c r="H478" s="44"/>
      <c r="I478" s="44"/>
      <c r="J478" s="76"/>
    </row>
    <row r="479" spans="2:10" ht="15">
      <c r="B479" s="76"/>
      <c r="C479" s="76"/>
      <c r="D479" s="44"/>
      <c r="E479" s="44"/>
      <c r="F479" s="44"/>
      <c r="G479" s="44"/>
      <c r="H479" s="44"/>
      <c r="I479" s="44"/>
      <c r="J479" s="76"/>
    </row>
    <row r="480" spans="2:10" ht="15">
      <c r="B480" s="76"/>
      <c r="C480" s="76"/>
      <c r="D480" s="44"/>
      <c r="E480" s="44"/>
      <c r="F480" s="44"/>
      <c r="G480" s="44"/>
      <c r="H480" s="44"/>
      <c r="I480" s="44"/>
      <c r="J480" s="76"/>
    </row>
    <row r="481" spans="2:10" ht="15">
      <c r="B481" s="76"/>
      <c r="C481" s="76"/>
      <c r="D481" s="44"/>
      <c r="E481" s="44"/>
      <c r="F481" s="44"/>
      <c r="G481" s="44"/>
      <c r="H481" s="44"/>
      <c r="I481" s="44"/>
      <c r="J481" s="76"/>
    </row>
    <row r="482" spans="2:10" ht="15">
      <c r="B482" s="76"/>
      <c r="C482" s="76"/>
      <c r="D482" s="44"/>
      <c r="E482" s="44"/>
      <c r="F482" s="44"/>
      <c r="G482" s="44"/>
      <c r="H482" s="44"/>
      <c r="I482" s="44"/>
      <c r="J482" s="76"/>
    </row>
    <row r="483" spans="2:10" ht="15">
      <c r="B483" s="76"/>
      <c r="C483" s="76"/>
      <c r="D483" s="44"/>
      <c r="E483" s="44"/>
      <c r="F483" s="44"/>
      <c r="G483" s="44"/>
      <c r="H483" s="44"/>
      <c r="I483" s="44"/>
      <c r="J483" s="76"/>
    </row>
    <row r="484" spans="2:10" ht="15">
      <c r="B484" s="76"/>
      <c r="C484" s="76"/>
      <c r="D484" s="44"/>
      <c r="E484" s="44"/>
      <c r="F484" s="44"/>
      <c r="G484" s="44"/>
      <c r="H484" s="44"/>
      <c r="I484" s="44"/>
      <c r="J484" s="76"/>
    </row>
    <row r="485" spans="2:10" ht="15">
      <c r="B485" s="76"/>
      <c r="C485" s="76"/>
      <c r="D485" s="44"/>
      <c r="E485" s="44"/>
      <c r="F485" s="44"/>
      <c r="G485" s="44"/>
      <c r="H485" s="44"/>
      <c r="I485" s="44"/>
      <c r="J485" s="76"/>
    </row>
    <row r="486" spans="2:10" ht="15">
      <c r="B486" s="76"/>
      <c r="C486" s="76"/>
      <c r="D486" s="44"/>
      <c r="E486" s="44"/>
      <c r="F486" s="44"/>
      <c r="G486" s="44"/>
      <c r="H486" s="44"/>
      <c r="I486" s="44"/>
      <c r="J486" s="76"/>
    </row>
    <row r="487" spans="2:10" ht="15">
      <c r="B487" s="76"/>
      <c r="C487" s="76"/>
      <c r="D487" s="44"/>
      <c r="E487" s="44"/>
      <c r="F487" s="44"/>
      <c r="G487" s="44"/>
      <c r="H487" s="44"/>
      <c r="I487" s="44"/>
      <c r="J487" s="76"/>
    </row>
    <row r="488" spans="2:10" ht="15">
      <c r="B488" s="76"/>
      <c r="C488" s="76"/>
      <c r="D488" s="44"/>
      <c r="E488" s="44"/>
      <c r="F488" s="44"/>
      <c r="G488" s="44"/>
      <c r="H488" s="44"/>
      <c r="I488" s="44"/>
      <c r="J488" s="76"/>
    </row>
    <row r="489" spans="2:10" ht="15">
      <c r="B489" s="76"/>
      <c r="C489" s="76"/>
      <c r="D489" s="44"/>
      <c r="E489" s="44"/>
      <c r="F489" s="44"/>
      <c r="G489" s="44"/>
      <c r="H489" s="44"/>
      <c r="I489" s="44"/>
      <c r="J489" s="76"/>
    </row>
    <row r="490" spans="2:10" ht="15">
      <c r="B490" s="76"/>
      <c r="C490" s="76"/>
      <c r="D490" s="44"/>
      <c r="E490" s="44"/>
      <c r="F490" s="44"/>
      <c r="G490" s="44"/>
      <c r="H490" s="44"/>
      <c r="I490" s="44"/>
      <c r="J490" s="76"/>
    </row>
    <row r="491" spans="2:10" ht="15">
      <c r="B491" s="76"/>
      <c r="C491" s="76"/>
      <c r="D491" s="44"/>
      <c r="E491" s="44"/>
      <c r="F491" s="44"/>
      <c r="G491" s="44"/>
      <c r="H491" s="44"/>
      <c r="I491" s="44"/>
      <c r="J491" s="76"/>
    </row>
    <row r="492" spans="2:10" ht="15">
      <c r="B492" s="76"/>
      <c r="C492" s="76"/>
      <c r="D492" s="44"/>
      <c r="E492" s="44"/>
      <c r="F492" s="44"/>
      <c r="G492" s="44"/>
      <c r="H492" s="44"/>
      <c r="I492" s="44"/>
      <c r="J492" s="76"/>
    </row>
    <row r="493" spans="2:10" ht="15">
      <c r="B493" s="76"/>
      <c r="C493" s="76"/>
      <c r="D493" s="44"/>
      <c r="E493" s="44"/>
      <c r="F493" s="44"/>
      <c r="G493" s="44"/>
      <c r="H493" s="44"/>
      <c r="I493" s="44"/>
      <c r="J493" s="76"/>
    </row>
    <row r="494" spans="2:10" ht="15">
      <c r="B494" s="76"/>
      <c r="C494" s="76"/>
      <c r="D494" s="44"/>
      <c r="E494" s="44"/>
      <c r="F494" s="44"/>
      <c r="G494" s="44"/>
      <c r="H494" s="44"/>
      <c r="I494" s="44"/>
      <c r="J494" s="76"/>
    </row>
    <row r="495" spans="2:10" ht="15">
      <c r="B495" s="76"/>
      <c r="C495" s="76"/>
      <c r="D495" s="44"/>
      <c r="E495" s="44"/>
      <c r="F495" s="44"/>
      <c r="G495" s="44"/>
      <c r="H495" s="44"/>
      <c r="I495" s="44"/>
      <c r="J495" s="76"/>
    </row>
    <row r="496" spans="2:10" ht="15">
      <c r="B496" s="76"/>
      <c r="C496" s="76"/>
      <c r="D496" s="44"/>
      <c r="E496" s="44"/>
      <c r="F496" s="44"/>
      <c r="G496" s="44"/>
      <c r="H496" s="44"/>
      <c r="I496" s="44"/>
      <c r="J496" s="76"/>
    </row>
    <row r="497" spans="2:10" ht="15">
      <c r="B497" s="76"/>
      <c r="C497" s="76"/>
      <c r="D497" s="44"/>
      <c r="E497" s="44"/>
      <c r="F497" s="44"/>
      <c r="G497" s="44"/>
      <c r="H497" s="44"/>
      <c r="I497" s="44"/>
      <c r="J497" s="76"/>
    </row>
    <row r="498" spans="2:10" ht="15">
      <c r="B498" s="76"/>
      <c r="C498" s="76"/>
      <c r="D498" s="44"/>
      <c r="E498" s="44"/>
      <c r="F498" s="44"/>
      <c r="G498" s="44"/>
      <c r="H498" s="44"/>
      <c r="I498" s="44"/>
      <c r="J498" s="76"/>
    </row>
    <row r="499" spans="2:10" ht="15">
      <c r="B499" s="76"/>
      <c r="C499" s="76"/>
      <c r="D499" s="44"/>
      <c r="E499" s="44"/>
      <c r="F499" s="44"/>
      <c r="G499" s="44"/>
      <c r="H499" s="44"/>
      <c r="I499" s="44"/>
      <c r="J499" s="76"/>
    </row>
    <row r="500" spans="2:10" ht="15">
      <c r="B500" s="76"/>
      <c r="C500" s="76"/>
      <c r="D500" s="44"/>
      <c r="E500" s="44"/>
      <c r="F500" s="44"/>
      <c r="G500" s="44"/>
      <c r="H500" s="44"/>
      <c r="I500" s="44"/>
      <c r="J500" s="76"/>
    </row>
    <row r="501" spans="2:10" ht="15">
      <c r="B501" s="76"/>
      <c r="C501" s="76"/>
      <c r="D501" s="44"/>
      <c r="E501" s="44"/>
      <c r="F501" s="44"/>
      <c r="G501" s="44"/>
      <c r="H501" s="44"/>
      <c r="I501" s="44"/>
      <c r="J501" s="76"/>
    </row>
    <row r="502" spans="2:10" ht="15">
      <c r="B502" s="76"/>
      <c r="C502" s="76"/>
      <c r="D502" s="44"/>
      <c r="E502" s="44"/>
      <c r="F502" s="44"/>
      <c r="G502" s="44"/>
      <c r="H502" s="44"/>
      <c r="I502" s="44"/>
      <c r="J502" s="76"/>
    </row>
    <row r="503" spans="2:10" ht="15">
      <c r="B503" s="76"/>
      <c r="C503" s="76"/>
      <c r="D503" s="44"/>
      <c r="E503" s="44"/>
      <c r="F503" s="44"/>
      <c r="G503" s="44"/>
      <c r="H503" s="44"/>
      <c r="I503" s="44"/>
      <c r="J503" s="76"/>
    </row>
    <row r="504" spans="2:10" ht="15">
      <c r="B504" s="76"/>
      <c r="C504" s="76"/>
      <c r="D504" s="44"/>
      <c r="E504" s="44"/>
      <c r="F504" s="44"/>
      <c r="G504" s="44"/>
      <c r="H504" s="44"/>
      <c r="I504" s="44"/>
      <c r="J504" s="76"/>
    </row>
    <row r="505" spans="2:10" ht="15">
      <c r="B505" s="76"/>
      <c r="C505" s="76"/>
      <c r="D505" s="44"/>
      <c r="E505" s="44"/>
      <c r="F505" s="44"/>
      <c r="G505" s="44"/>
      <c r="H505" s="44"/>
      <c r="I505" s="44"/>
      <c r="J505" s="76"/>
    </row>
    <row r="506" spans="2:10" ht="15">
      <c r="B506" s="76"/>
      <c r="C506" s="76"/>
      <c r="D506" s="44"/>
      <c r="E506" s="44"/>
      <c r="F506" s="44"/>
      <c r="G506" s="44"/>
      <c r="H506" s="44"/>
      <c r="I506" s="44"/>
      <c r="J506" s="76"/>
    </row>
    <row r="507" spans="2:10" ht="15">
      <c r="B507" s="76"/>
      <c r="C507" s="76"/>
      <c r="D507" s="44"/>
      <c r="E507" s="44"/>
      <c r="F507" s="44"/>
      <c r="G507" s="44"/>
      <c r="H507" s="44"/>
      <c r="I507" s="44"/>
      <c r="J507" s="76"/>
    </row>
    <row r="508" spans="2:10" ht="15">
      <c r="B508" s="76"/>
      <c r="C508" s="76"/>
      <c r="D508" s="44"/>
      <c r="E508" s="44"/>
      <c r="F508" s="44"/>
      <c r="G508" s="44"/>
      <c r="H508" s="44"/>
      <c r="I508" s="44"/>
      <c r="J508" s="76"/>
    </row>
    <row r="509" spans="2:10" ht="15">
      <c r="B509" s="76"/>
      <c r="C509" s="76"/>
      <c r="D509" s="44"/>
      <c r="E509" s="44"/>
      <c r="F509" s="44"/>
      <c r="G509" s="44"/>
      <c r="H509" s="44"/>
      <c r="I509" s="44"/>
      <c r="J509" s="76"/>
    </row>
    <row r="510" spans="2:10" ht="15">
      <c r="B510" s="76"/>
      <c r="C510" s="76"/>
      <c r="D510" s="44"/>
      <c r="E510" s="44"/>
      <c r="F510" s="44"/>
      <c r="G510" s="44"/>
      <c r="H510" s="44"/>
      <c r="I510" s="44"/>
      <c r="J510" s="76"/>
    </row>
    <row r="511" spans="2:10" ht="15">
      <c r="B511" s="76"/>
      <c r="C511" s="76"/>
      <c r="D511" s="44"/>
      <c r="E511" s="44"/>
      <c r="F511" s="44"/>
      <c r="G511" s="44"/>
      <c r="H511" s="44"/>
      <c r="I511" s="44"/>
      <c r="J511" s="76"/>
    </row>
    <row r="512" spans="2:10" ht="15">
      <c r="B512" s="76"/>
      <c r="C512" s="76"/>
      <c r="D512" s="44"/>
      <c r="E512" s="44"/>
      <c r="F512" s="44"/>
      <c r="G512" s="44"/>
      <c r="H512" s="44"/>
      <c r="I512" s="44"/>
      <c r="J512" s="76"/>
    </row>
    <row r="513" spans="2:10" ht="15">
      <c r="B513" s="76"/>
      <c r="C513" s="76"/>
      <c r="D513" s="44"/>
      <c r="E513" s="44"/>
      <c r="F513" s="44"/>
      <c r="G513" s="44"/>
      <c r="H513" s="44"/>
      <c r="I513" s="44"/>
      <c r="J513" s="76"/>
    </row>
    <row r="514" spans="2:10" ht="15">
      <c r="B514" s="76"/>
      <c r="C514" s="76"/>
      <c r="D514" s="44"/>
      <c r="E514" s="44"/>
      <c r="F514" s="44"/>
      <c r="G514" s="44"/>
      <c r="H514" s="44"/>
      <c r="I514" s="44"/>
      <c r="J514" s="76"/>
    </row>
    <row r="515" spans="2:10" ht="15">
      <c r="B515" s="76"/>
      <c r="C515" s="76"/>
      <c r="D515" s="44"/>
      <c r="E515" s="44"/>
      <c r="F515" s="44"/>
      <c r="G515" s="44"/>
      <c r="H515" s="44"/>
      <c r="I515" s="44"/>
      <c r="J515" s="76"/>
    </row>
    <row r="516" spans="2:10" ht="15">
      <c r="B516" s="76"/>
      <c r="C516" s="76"/>
      <c r="D516" s="44"/>
      <c r="E516" s="44"/>
      <c r="F516" s="44"/>
      <c r="G516" s="44"/>
      <c r="H516" s="44"/>
      <c r="I516" s="44"/>
      <c r="J516" s="76"/>
    </row>
    <row r="517" spans="2:10" ht="15">
      <c r="B517" s="76"/>
      <c r="C517" s="76"/>
      <c r="D517" s="44"/>
      <c r="E517" s="44"/>
      <c r="F517" s="44"/>
      <c r="G517" s="44"/>
      <c r="H517" s="44"/>
      <c r="I517" s="44"/>
      <c r="J517" s="76"/>
    </row>
    <row r="518" spans="2:10" ht="15">
      <c r="B518" s="76"/>
      <c r="C518" s="76"/>
      <c r="D518" s="44"/>
      <c r="E518" s="44"/>
      <c r="F518" s="44"/>
      <c r="G518" s="44"/>
      <c r="H518" s="44"/>
      <c r="I518" s="44"/>
      <c r="J518" s="76"/>
    </row>
    <row r="519" spans="2:10" ht="15">
      <c r="B519" s="76"/>
      <c r="C519" s="76"/>
      <c r="D519" s="44"/>
      <c r="E519" s="44"/>
      <c r="F519" s="44"/>
      <c r="G519" s="44"/>
      <c r="H519" s="44"/>
      <c r="I519" s="44"/>
      <c r="J519" s="76"/>
    </row>
    <row r="520" spans="2:10" ht="15">
      <c r="B520" s="76"/>
      <c r="C520" s="76"/>
      <c r="D520" s="44"/>
      <c r="E520" s="44"/>
      <c r="F520" s="44"/>
      <c r="G520" s="44"/>
      <c r="H520" s="44"/>
      <c r="I520" s="44"/>
      <c r="J520" s="76"/>
    </row>
    <row r="521" spans="2:10" ht="15">
      <c r="B521" s="76"/>
      <c r="C521" s="76"/>
      <c r="D521" s="44"/>
      <c r="E521" s="44"/>
      <c r="F521" s="44"/>
      <c r="G521" s="44"/>
      <c r="H521" s="44"/>
      <c r="I521" s="44"/>
      <c r="J521" s="76"/>
    </row>
    <row r="522" spans="2:10" ht="15">
      <c r="B522" s="76"/>
      <c r="C522" s="76"/>
      <c r="D522" s="44"/>
      <c r="E522" s="44"/>
      <c r="F522" s="44"/>
      <c r="G522" s="44"/>
      <c r="H522" s="44"/>
      <c r="I522" s="44"/>
      <c r="J522" s="76"/>
    </row>
    <row r="523" spans="2:10" ht="15">
      <c r="B523" s="76"/>
      <c r="C523" s="76"/>
      <c r="D523" s="44"/>
      <c r="E523" s="44"/>
      <c r="F523" s="44"/>
      <c r="G523" s="44"/>
      <c r="H523" s="44"/>
      <c r="I523" s="44"/>
      <c r="J523" s="76"/>
    </row>
    <row r="524" spans="2:10" ht="15">
      <c r="B524" s="76"/>
      <c r="C524" s="76"/>
      <c r="D524" s="44"/>
      <c r="E524" s="44"/>
      <c r="F524" s="44"/>
      <c r="G524" s="44"/>
      <c r="H524" s="44"/>
      <c r="I524" s="44"/>
      <c r="J524" s="76"/>
    </row>
    <row r="525" spans="2:10" ht="15">
      <c r="B525" s="76"/>
      <c r="C525" s="76"/>
      <c r="D525" s="44"/>
      <c r="E525" s="44"/>
      <c r="F525" s="44"/>
      <c r="G525" s="44"/>
      <c r="H525" s="44"/>
      <c r="I525" s="44"/>
      <c r="J525" s="76"/>
    </row>
    <row r="526" spans="2:10" ht="15">
      <c r="B526" s="76"/>
      <c r="C526" s="76"/>
      <c r="D526" s="44"/>
      <c r="E526" s="44"/>
      <c r="F526" s="44"/>
      <c r="G526" s="44"/>
      <c r="H526" s="44"/>
      <c r="I526" s="44"/>
      <c r="J526" s="76"/>
    </row>
    <row r="527" spans="2:10" ht="15">
      <c r="B527" s="76"/>
      <c r="C527" s="76"/>
      <c r="D527" s="44"/>
      <c r="E527" s="44"/>
      <c r="F527" s="44"/>
      <c r="G527" s="44"/>
      <c r="H527" s="44"/>
      <c r="I527" s="44"/>
      <c r="J527" s="76"/>
    </row>
    <row r="528" spans="2:10" ht="15">
      <c r="B528" s="76"/>
      <c r="C528" s="76"/>
      <c r="D528" s="44"/>
      <c r="E528" s="44"/>
      <c r="F528" s="44"/>
      <c r="G528" s="44"/>
      <c r="H528" s="44"/>
      <c r="I528" s="44"/>
      <c r="J528" s="76"/>
    </row>
    <row r="529" spans="2:10" ht="15">
      <c r="B529" s="76"/>
      <c r="C529" s="76"/>
      <c r="D529" s="44"/>
      <c r="E529" s="44"/>
      <c r="F529" s="44"/>
      <c r="G529" s="44"/>
      <c r="H529" s="44"/>
      <c r="I529" s="44"/>
      <c r="J529" s="76"/>
    </row>
    <row r="530" spans="2:10" ht="15">
      <c r="B530" s="76"/>
      <c r="C530" s="76"/>
      <c r="D530" s="44"/>
      <c r="E530" s="44"/>
      <c r="F530" s="44"/>
      <c r="G530" s="44"/>
      <c r="H530" s="44"/>
      <c r="I530" s="44"/>
      <c r="J530" s="76"/>
    </row>
    <row r="531" spans="2:10" ht="15">
      <c r="B531" s="76"/>
      <c r="C531" s="76"/>
      <c r="D531" s="44"/>
      <c r="E531" s="44"/>
      <c r="F531" s="44"/>
      <c r="G531" s="44"/>
      <c r="H531" s="44"/>
      <c r="I531" s="44"/>
      <c r="J531" s="76"/>
    </row>
    <row r="532" spans="2:10" ht="15">
      <c r="B532" s="76"/>
      <c r="C532" s="76"/>
      <c r="D532" s="44"/>
      <c r="E532" s="44"/>
      <c r="F532" s="44"/>
      <c r="G532" s="44"/>
      <c r="H532" s="44"/>
      <c r="I532" s="44"/>
      <c r="J532" s="76"/>
    </row>
    <row r="533" spans="2:10" ht="15">
      <c r="B533" s="76"/>
      <c r="C533" s="76"/>
      <c r="D533" s="44"/>
      <c r="E533" s="44"/>
      <c r="F533" s="44"/>
      <c r="G533" s="44"/>
      <c r="H533" s="44"/>
      <c r="I533" s="44"/>
      <c r="J533" s="76"/>
    </row>
    <row r="534" spans="2:10" ht="15">
      <c r="B534" s="76"/>
      <c r="C534" s="76"/>
      <c r="D534" s="44"/>
      <c r="E534" s="44"/>
      <c r="F534" s="44"/>
      <c r="G534" s="44"/>
      <c r="H534" s="44"/>
      <c r="I534" s="44"/>
      <c r="J534" s="76"/>
    </row>
    <row r="535" spans="2:10" ht="15">
      <c r="B535" s="76"/>
      <c r="C535" s="76"/>
      <c r="D535" s="44"/>
      <c r="E535" s="44"/>
      <c r="F535" s="44"/>
      <c r="G535" s="44"/>
      <c r="H535" s="44"/>
      <c r="I535" s="44"/>
      <c r="J535" s="76"/>
    </row>
    <row r="536" spans="2:10" ht="15">
      <c r="B536" s="76"/>
      <c r="C536" s="76"/>
      <c r="D536" s="44"/>
      <c r="E536" s="44"/>
      <c r="F536" s="44"/>
      <c r="G536" s="44"/>
      <c r="H536" s="44"/>
      <c r="I536" s="44"/>
      <c r="J536" s="76"/>
    </row>
    <row r="537" spans="2:10" ht="15">
      <c r="B537" s="76"/>
      <c r="C537" s="76"/>
      <c r="D537" s="44"/>
      <c r="E537" s="44"/>
      <c r="F537" s="44"/>
      <c r="G537" s="44"/>
      <c r="H537" s="44"/>
      <c r="I537" s="44"/>
      <c r="J537" s="76"/>
    </row>
    <row r="538" spans="2:10" ht="15">
      <c r="B538" s="76"/>
      <c r="C538" s="76"/>
      <c r="D538" s="44"/>
      <c r="E538" s="44"/>
      <c r="F538" s="44"/>
      <c r="G538" s="44"/>
      <c r="H538" s="44"/>
      <c r="I538" s="44"/>
      <c r="J538" s="76"/>
    </row>
    <row r="539" spans="2:10" ht="15">
      <c r="B539" s="76"/>
      <c r="C539" s="76"/>
      <c r="D539" s="44"/>
      <c r="E539" s="44"/>
      <c r="F539" s="44"/>
      <c r="G539" s="44"/>
      <c r="H539" s="44"/>
      <c r="I539" s="44"/>
      <c r="J539" s="76"/>
    </row>
    <row r="540" spans="2:10" ht="15">
      <c r="B540" s="76"/>
      <c r="C540" s="76"/>
      <c r="D540" s="44"/>
      <c r="E540" s="44"/>
      <c r="F540" s="44"/>
      <c r="G540" s="44"/>
      <c r="H540" s="44"/>
      <c r="I540" s="44"/>
      <c r="J540" s="76"/>
    </row>
    <row r="541" spans="2:10" ht="15">
      <c r="B541" s="76"/>
      <c r="C541" s="76"/>
      <c r="D541" s="44"/>
      <c r="E541" s="44"/>
      <c r="F541" s="44"/>
      <c r="G541" s="44"/>
      <c r="H541" s="44"/>
      <c r="I541" s="44"/>
      <c r="J541" s="76"/>
    </row>
    <row r="542" spans="2:10" ht="15">
      <c r="B542" s="76"/>
      <c r="C542" s="76"/>
      <c r="D542" s="44"/>
      <c r="E542" s="44"/>
      <c r="F542" s="44"/>
      <c r="G542" s="44"/>
      <c r="H542" s="44"/>
      <c r="I542" s="44"/>
      <c r="J542" s="76"/>
    </row>
    <row r="543" spans="2:10" ht="15">
      <c r="B543" s="76"/>
      <c r="C543" s="76"/>
      <c r="D543" s="44"/>
      <c r="E543" s="44"/>
      <c r="F543" s="44"/>
      <c r="G543" s="44"/>
      <c r="H543" s="44"/>
      <c r="I543" s="44"/>
      <c r="J543" s="76"/>
    </row>
    <row r="544" spans="2:10" ht="15">
      <c r="B544" s="76"/>
      <c r="C544" s="76"/>
      <c r="D544" s="44"/>
      <c r="E544" s="44"/>
      <c r="F544" s="44"/>
      <c r="G544" s="44"/>
      <c r="H544" s="44"/>
      <c r="I544" s="44"/>
      <c r="J544" s="76"/>
    </row>
    <row r="545" spans="2:10" ht="15">
      <c r="B545" s="76"/>
      <c r="C545" s="76"/>
      <c r="D545" s="44"/>
      <c r="E545" s="44"/>
      <c r="F545" s="44"/>
      <c r="G545" s="44"/>
      <c r="H545" s="44"/>
      <c r="I545" s="44"/>
      <c r="J545" s="76"/>
    </row>
    <row r="546" spans="2:10" ht="15">
      <c r="B546" s="76"/>
      <c r="C546" s="76"/>
      <c r="D546" s="44"/>
      <c r="E546" s="44"/>
      <c r="F546" s="44"/>
      <c r="G546" s="44"/>
      <c r="H546" s="44"/>
      <c r="I546" s="44"/>
      <c r="J546" s="76"/>
    </row>
    <row r="547" spans="2:10" ht="15">
      <c r="B547" s="76"/>
      <c r="C547" s="76"/>
      <c r="D547" s="44"/>
      <c r="E547" s="44"/>
      <c r="F547" s="44"/>
      <c r="G547" s="44"/>
      <c r="H547" s="44"/>
      <c r="I547" s="44"/>
      <c r="J547" s="76"/>
    </row>
    <row r="548" spans="2:10" ht="15">
      <c r="B548" s="76"/>
      <c r="C548" s="76"/>
      <c r="D548" s="44"/>
      <c r="E548" s="44"/>
      <c r="F548" s="44"/>
      <c r="G548" s="44"/>
      <c r="H548" s="44"/>
      <c r="I548" s="44"/>
      <c r="J548" s="76"/>
    </row>
    <row r="549" spans="2:10" ht="15">
      <c r="B549" s="76"/>
      <c r="C549" s="76"/>
      <c r="D549" s="44"/>
      <c r="E549" s="44"/>
      <c r="F549" s="44"/>
      <c r="G549" s="44"/>
      <c r="H549" s="44"/>
      <c r="I549" s="44"/>
      <c r="J549" s="76"/>
    </row>
    <row r="550" spans="2:10" ht="15">
      <c r="B550" s="76"/>
      <c r="C550" s="76"/>
      <c r="D550" s="44"/>
      <c r="E550" s="44"/>
      <c r="F550" s="44"/>
      <c r="G550" s="44"/>
      <c r="H550" s="44"/>
      <c r="I550" s="44"/>
      <c r="J550" s="76"/>
    </row>
    <row r="551" spans="2:10" ht="15">
      <c r="B551" s="76"/>
      <c r="C551" s="76"/>
      <c r="D551" s="44"/>
      <c r="E551" s="44"/>
      <c r="F551" s="44"/>
      <c r="G551" s="44"/>
      <c r="H551" s="44"/>
      <c r="I551" s="44"/>
      <c r="J551" s="76"/>
    </row>
    <row r="552" spans="2:10" ht="15">
      <c r="B552" s="76"/>
      <c r="C552" s="76"/>
      <c r="D552" s="44"/>
      <c r="E552" s="44"/>
      <c r="F552" s="44"/>
      <c r="G552" s="44"/>
      <c r="H552" s="44"/>
      <c r="I552" s="44"/>
      <c r="J552" s="76"/>
    </row>
    <row r="553" spans="2:10" ht="15">
      <c r="B553" s="76"/>
      <c r="C553" s="76"/>
      <c r="D553" s="44"/>
      <c r="E553" s="44"/>
      <c r="F553" s="44"/>
      <c r="G553" s="44"/>
      <c r="H553" s="44"/>
      <c r="I553" s="44"/>
      <c r="J553" s="76"/>
    </row>
    <row r="554" spans="2:10" ht="15">
      <c r="B554" s="76"/>
      <c r="C554" s="76"/>
      <c r="D554" s="44"/>
      <c r="E554" s="44"/>
      <c r="F554" s="44"/>
      <c r="G554" s="44"/>
      <c r="H554" s="44"/>
      <c r="I554" s="44"/>
      <c r="J554" s="76"/>
    </row>
    <row r="555" spans="2:10" ht="15">
      <c r="B555" s="76"/>
      <c r="C555" s="76"/>
      <c r="D555" s="44"/>
      <c r="E555" s="44"/>
      <c r="F555" s="44"/>
      <c r="G555" s="44"/>
      <c r="H555" s="44"/>
      <c r="I555" s="44"/>
      <c r="J555" s="76"/>
    </row>
    <row r="556" spans="2:10" ht="15">
      <c r="B556" s="76"/>
      <c r="C556" s="76"/>
      <c r="D556" s="44"/>
      <c r="E556" s="44"/>
      <c r="F556" s="44"/>
      <c r="G556" s="44"/>
      <c r="H556" s="44"/>
      <c r="I556" s="44"/>
      <c r="J556" s="76"/>
    </row>
    <row r="557" spans="2:10" ht="15">
      <c r="B557" s="76"/>
      <c r="C557" s="76"/>
      <c r="D557" s="44"/>
      <c r="E557" s="44"/>
      <c r="F557" s="44"/>
      <c r="G557" s="44"/>
      <c r="H557" s="44"/>
      <c r="I557" s="44"/>
      <c r="J557" s="76"/>
    </row>
    <row r="558" spans="2:10" ht="15">
      <c r="B558" s="76"/>
      <c r="C558" s="76"/>
      <c r="D558" s="44"/>
      <c r="E558" s="44"/>
      <c r="F558" s="44"/>
      <c r="G558" s="44"/>
      <c r="H558" s="44"/>
      <c r="I558" s="44"/>
      <c r="J558" s="76"/>
    </row>
    <row r="559" spans="2:10" ht="15">
      <c r="B559" s="76"/>
      <c r="C559" s="76"/>
      <c r="D559" s="44"/>
      <c r="E559" s="44"/>
      <c r="F559" s="44"/>
      <c r="G559" s="44"/>
      <c r="H559" s="44"/>
      <c r="I559" s="44"/>
      <c r="J559" s="76"/>
    </row>
    <row r="560" spans="2:10" ht="15">
      <c r="B560" s="76"/>
      <c r="C560" s="76"/>
      <c r="D560" s="44"/>
      <c r="E560" s="44"/>
      <c r="F560" s="44"/>
      <c r="G560" s="44"/>
      <c r="H560" s="44"/>
      <c r="I560" s="44"/>
      <c r="J560" s="76"/>
    </row>
    <row r="561" spans="2:10" ht="15">
      <c r="B561" s="76"/>
      <c r="C561" s="76"/>
      <c r="D561" s="44"/>
      <c r="E561" s="44"/>
      <c r="F561" s="44"/>
      <c r="G561" s="44"/>
      <c r="H561" s="44"/>
      <c r="I561" s="44"/>
      <c r="J561" s="76"/>
    </row>
    <row r="562" spans="2:10" ht="15">
      <c r="B562" s="76"/>
      <c r="C562" s="76"/>
      <c r="D562" s="44"/>
      <c r="E562" s="44"/>
      <c r="F562" s="44"/>
      <c r="G562" s="44"/>
      <c r="H562" s="44"/>
      <c r="I562" s="44"/>
      <c r="J562" s="76"/>
    </row>
    <row r="563" spans="2:10" ht="15">
      <c r="B563" s="76"/>
      <c r="C563" s="76"/>
      <c r="D563" s="44"/>
      <c r="E563" s="44"/>
      <c r="F563" s="44"/>
      <c r="G563" s="44"/>
      <c r="H563" s="44"/>
      <c r="I563" s="44"/>
      <c r="J563" s="76"/>
    </row>
    <row r="564" spans="2:10" ht="15">
      <c r="B564" s="76"/>
      <c r="C564" s="76"/>
      <c r="D564" s="44"/>
      <c r="E564" s="44"/>
      <c r="F564" s="44"/>
      <c r="G564" s="44"/>
      <c r="H564" s="44"/>
      <c r="I564" s="44"/>
      <c r="J564" s="76"/>
    </row>
    <row r="565" spans="2:10" ht="15">
      <c r="B565" s="76"/>
      <c r="C565" s="76"/>
      <c r="D565" s="44"/>
      <c r="E565" s="44"/>
      <c r="F565" s="44"/>
      <c r="G565" s="44"/>
      <c r="H565" s="44"/>
      <c r="I565" s="44"/>
      <c r="J565" s="76"/>
    </row>
    <row r="566" spans="2:10" ht="15">
      <c r="B566" s="76"/>
      <c r="C566" s="76"/>
      <c r="D566" s="44"/>
      <c r="E566" s="44"/>
      <c r="F566" s="44"/>
      <c r="G566" s="44"/>
      <c r="H566" s="44"/>
      <c r="I566" s="44"/>
      <c r="J566" s="76"/>
    </row>
    <row r="567" spans="2:10" ht="15">
      <c r="B567" s="76"/>
      <c r="C567" s="76"/>
      <c r="D567" s="44"/>
      <c r="E567" s="44"/>
      <c r="F567" s="44"/>
      <c r="G567" s="44"/>
      <c r="H567" s="44"/>
      <c r="I567" s="44"/>
      <c r="J567" s="76"/>
    </row>
    <row r="568" spans="2:10" ht="15">
      <c r="B568" s="76"/>
      <c r="C568" s="76"/>
      <c r="D568" s="44"/>
      <c r="E568" s="44"/>
      <c r="F568" s="44"/>
      <c r="G568" s="44"/>
      <c r="H568" s="44"/>
      <c r="I568" s="44"/>
      <c r="J568" s="76"/>
    </row>
    <row r="569" spans="2:10" ht="15">
      <c r="B569" s="76"/>
      <c r="C569" s="76"/>
      <c r="D569" s="44"/>
      <c r="E569" s="44"/>
      <c r="F569" s="44"/>
      <c r="G569" s="44"/>
      <c r="H569" s="44"/>
      <c r="I569" s="44"/>
      <c r="J569" s="76"/>
    </row>
    <row r="570" spans="2:10" ht="15">
      <c r="B570" s="76"/>
      <c r="C570" s="76"/>
      <c r="D570" s="44"/>
      <c r="E570" s="44"/>
      <c r="F570" s="44"/>
      <c r="G570" s="44"/>
      <c r="H570" s="44"/>
      <c r="I570" s="44"/>
      <c r="J570" s="76"/>
    </row>
    <row r="571" spans="2:10" ht="15">
      <c r="B571" s="76"/>
      <c r="C571" s="76"/>
      <c r="D571" s="44"/>
      <c r="E571" s="44"/>
      <c r="F571" s="44"/>
      <c r="G571" s="44"/>
      <c r="H571" s="44"/>
      <c r="I571" s="44"/>
      <c r="J571" s="76"/>
    </row>
    <row r="572" spans="2:10" ht="15">
      <c r="B572" s="76"/>
      <c r="C572" s="76"/>
      <c r="D572" s="44"/>
      <c r="E572" s="44"/>
      <c r="F572" s="44"/>
      <c r="G572" s="44"/>
      <c r="H572" s="44"/>
      <c r="I572" s="44"/>
      <c r="J572" s="76"/>
    </row>
    <row r="573" spans="2:10" ht="15">
      <c r="B573" s="76"/>
      <c r="C573" s="76"/>
      <c r="D573" s="44"/>
      <c r="E573" s="44"/>
      <c r="F573" s="44"/>
      <c r="G573" s="44"/>
      <c r="H573" s="44"/>
      <c r="I573" s="44"/>
      <c r="J573" s="76"/>
    </row>
    <row r="574" spans="2:10" ht="15">
      <c r="B574" s="76"/>
      <c r="C574" s="76"/>
      <c r="D574" s="44"/>
      <c r="E574" s="44"/>
      <c r="F574" s="44"/>
      <c r="G574" s="44"/>
      <c r="H574" s="44"/>
      <c r="I574" s="44"/>
      <c r="J574" s="76"/>
    </row>
    <row r="575" spans="2:10" ht="15">
      <c r="B575" s="76"/>
      <c r="C575" s="76"/>
      <c r="D575" s="44"/>
      <c r="E575" s="44"/>
      <c r="F575" s="44"/>
      <c r="G575" s="44"/>
      <c r="H575" s="44"/>
      <c r="I575" s="44"/>
      <c r="J575" s="76"/>
    </row>
    <row r="576" spans="2:10" ht="15">
      <c r="B576" s="76"/>
      <c r="C576" s="76"/>
      <c r="D576" s="44"/>
      <c r="E576" s="44"/>
      <c r="F576" s="44"/>
      <c r="G576" s="44"/>
      <c r="H576" s="44"/>
      <c r="I576" s="44"/>
      <c r="J576" s="76"/>
    </row>
    <row r="577" spans="2:10" ht="15">
      <c r="B577" s="76"/>
      <c r="C577" s="76"/>
      <c r="D577" s="44"/>
      <c r="E577" s="44"/>
      <c r="F577" s="44"/>
      <c r="G577" s="44"/>
      <c r="H577" s="44"/>
      <c r="I577" s="44"/>
      <c r="J577" s="76"/>
    </row>
    <row r="578" spans="2:10" ht="15">
      <c r="B578" s="76"/>
      <c r="C578" s="76"/>
      <c r="D578" s="44"/>
      <c r="E578" s="44"/>
      <c r="F578" s="44"/>
      <c r="G578" s="44"/>
      <c r="H578" s="44"/>
      <c r="I578" s="44"/>
      <c r="J578" s="76"/>
    </row>
    <row r="579" spans="2:10" ht="15">
      <c r="B579" s="76"/>
      <c r="C579" s="76"/>
      <c r="D579" s="44"/>
      <c r="E579" s="44"/>
      <c r="F579" s="44"/>
      <c r="G579" s="44"/>
      <c r="H579" s="44"/>
      <c r="I579" s="44"/>
      <c r="J579" s="76"/>
    </row>
    <row r="580" spans="2:10" ht="15">
      <c r="B580" s="76"/>
      <c r="C580" s="76"/>
      <c r="D580" s="44"/>
      <c r="E580" s="44"/>
      <c r="F580" s="44"/>
      <c r="G580" s="44"/>
      <c r="H580" s="44"/>
      <c r="I580" s="44"/>
      <c r="J580" s="76"/>
    </row>
    <row r="581" spans="2:10" ht="15">
      <c r="B581" s="76"/>
      <c r="C581" s="76"/>
      <c r="D581" s="44"/>
      <c r="E581" s="44"/>
      <c r="F581" s="44"/>
      <c r="G581" s="44"/>
      <c r="H581" s="44"/>
      <c r="I581" s="44"/>
      <c r="J581" s="76"/>
    </row>
    <row r="582" spans="2:10" ht="15">
      <c r="B582" s="76"/>
      <c r="C582" s="76"/>
      <c r="D582" s="44"/>
      <c r="E582" s="44"/>
      <c r="F582" s="44"/>
      <c r="G582" s="44"/>
      <c r="H582" s="44"/>
      <c r="I582" s="44"/>
      <c r="J582" s="76"/>
    </row>
    <row r="583" spans="2:10" ht="15">
      <c r="B583" s="76"/>
      <c r="C583" s="76"/>
      <c r="D583" s="44"/>
      <c r="E583" s="44"/>
      <c r="F583" s="44"/>
      <c r="G583" s="44"/>
      <c r="H583" s="44"/>
      <c r="I583" s="44"/>
      <c r="J583" s="76"/>
    </row>
    <row r="584" spans="2:10" ht="15">
      <c r="B584" s="76"/>
      <c r="C584" s="76"/>
      <c r="D584" s="44"/>
      <c r="E584" s="44"/>
      <c r="F584" s="44"/>
      <c r="G584" s="44"/>
      <c r="H584" s="44"/>
      <c r="I584" s="44"/>
      <c r="J584" s="76"/>
    </row>
    <row r="585" spans="2:10" ht="15">
      <c r="B585" s="76"/>
      <c r="C585" s="76"/>
      <c r="D585" s="44"/>
      <c r="E585" s="44"/>
      <c r="F585" s="44"/>
      <c r="G585" s="44"/>
      <c r="H585" s="44"/>
      <c r="I585" s="44"/>
      <c r="J585" s="76"/>
    </row>
    <row r="586" spans="2:10" ht="15">
      <c r="B586" s="76"/>
      <c r="C586" s="76"/>
      <c r="D586" s="44"/>
      <c r="E586" s="44"/>
      <c r="F586" s="44"/>
      <c r="G586" s="44"/>
      <c r="H586" s="44"/>
      <c r="I586" s="44"/>
      <c r="J586" s="76"/>
    </row>
    <row r="587" spans="2:10" ht="15">
      <c r="B587" s="76"/>
      <c r="C587" s="76"/>
      <c r="D587" s="44"/>
      <c r="E587" s="44"/>
      <c r="F587" s="44"/>
      <c r="G587" s="44"/>
      <c r="H587" s="44"/>
      <c r="I587" s="44"/>
      <c r="J587" s="76"/>
    </row>
    <row r="588" spans="2:10" ht="15">
      <c r="B588" s="76"/>
      <c r="C588" s="76"/>
      <c r="D588" s="44"/>
      <c r="E588" s="44"/>
      <c r="F588" s="44"/>
      <c r="G588" s="44"/>
      <c r="H588" s="44"/>
      <c r="I588" s="44"/>
      <c r="J588" s="76"/>
    </row>
    <row r="589" spans="2:10" ht="15">
      <c r="B589" s="76"/>
      <c r="C589" s="76"/>
      <c r="D589" s="44"/>
      <c r="E589" s="44"/>
      <c r="F589" s="44"/>
      <c r="G589" s="44"/>
      <c r="H589" s="44"/>
      <c r="I589" s="44"/>
      <c r="J589" s="76"/>
    </row>
    <row r="590" spans="2:10" ht="15">
      <c r="B590" s="76"/>
      <c r="C590" s="76"/>
      <c r="D590" s="44"/>
      <c r="E590" s="44"/>
      <c r="F590" s="44"/>
      <c r="G590" s="44"/>
      <c r="H590" s="44"/>
      <c r="I590" s="44"/>
      <c r="J590" s="76"/>
    </row>
    <row r="591" spans="2:10" ht="15">
      <c r="B591" s="76"/>
      <c r="C591" s="76"/>
      <c r="D591" s="44"/>
      <c r="E591" s="44"/>
      <c r="F591" s="44"/>
      <c r="G591" s="44"/>
      <c r="H591" s="44"/>
      <c r="I591" s="44"/>
      <c r="J591" s="76"/>
    </row>
    <row r="592" spans="2:10" ht="15">
      <c r="B592" s="76"/>
      <c r="C592" s="76"/>
      <c r="D592" s="44"/>
      <c r="E592" s="44"/>
      <c r="F592" s="44"/>
      <c r="G592" s="44"/>
      <c r="H592" s="44"/>
      <c r="I592" s="44"/>
      <c r="J592" s="76"/>
    </row>
    <row r="593" spans="2:10" ht="15">
      <c r="B593" s="76"/>
      <c r="C593" s="76"/>
      <c r="D593" s="44"/>
      <c r="E593" s="44"/>
      <c r="F593" s="44"/>
      <c r="G593" s="44"/>
      <c r="H593" s="44"/>
      <c r="I593" s="44"/>
      <c r="J593" s="76"/>
    </row>
    <row r="594" spans="2:10" ht="15">
      <c r="B594" s="76"/>
      <c r="C594" s="76"/>
      <c r="D594" s="44"/>
      <c r="E594" s="44"/>
      <c r="F594" s="44"/>
      <c r="G594" s="44"/>
      <c r="H594" s="44"/>
      <c r="I594" s="44"/>
      <c r="J594" s="76"/>
    </row>
    <row r="595" spans="2:10" ht="15">
      <c r="B595" s="76"/>
      <c r="C595" s="76"/>
      <c r="D595" s="44"/>
      <c r="E595" s="44"/>
      <c r="F595" s="44"/>
      <c r="G595" s="44"/>
      <c r="H595" s="44"/>
      <c r="I595" s="44"/>
      <c r="J595" s="76"/>
    </row>
    <row r="596" spans="2:10" ht="15">
      <c r="B596" s="76"/>
      <c r="C596" s="76"/>
      <c r="D596" s="44"/>
      <c r="E596" s="44"/>
      <c r="F596" s="44"/>
      <c r="G596" s="44"/>
      <c r="H596" s="44"/>
      <c r="I596" s="44"/>
      <c r="J596" s="76"/>
    </row>
    <row r="597" spans="2:10" ht="15">
      <c r="B597" s="76"/>
      <c r="C597" s="76"/>
      <c r="D597" s="44"/>
      <c r="E597" s="44"/>
      <c r="F597" s="44"/>
      <c r="G597" s="44"/>
      <c r="H597" s="44"/>
      <c r="I597" s="44"/>
      <c r="J597" s="76"/>
    </row>
    <row r="598" spans="2:10" ht="15">
      <c r="B598" s="76"/>
      <c r="C598" s="76"/>
      <c r="D598" s="44"/>
      <c r="E598" s="44"/>
      <c r="F598" s="44"/>
      <c r="G598" s="44"/>
      <c r="H598" s="44"/>
      <c r="I598" s="44"/>
      <c r="J598" s="76"/>
    </row>
    <row r="599" spans="2:10" ht="15">
      <c r="B599" s="76"/>
      <c r="C599" s="76"/>
      <c r="D599" s="44"/>
      <c r="E599" s="44"/>
      <c r="F599" s="44"/>
      <c r="G599" s="44"/>
      <c r="H599" s="44"/>
      <c r="I599" s="44"/>
      <c r="J599" s="76"/>
    </row>
    <row r="600" spans="2:10" ht="15">
      <c r="B600" s="76"/>
      <c r="C600" s="76"/>
      <c r="D600" s="44"/>
      <c r="E600" s="44"/>
      <c r="F600" s="44"/>
      <c r="G600" s="44"/>
      <c r="H600" s="44"/>
      <c r="I600" s="44"/>
      <c r="J600" s="76"/>
    </row>
    <row r="601" spans="2:10" ht="15">
      <c r="B601" s="76"/>
      <c r="C601" s="76"/>
      <c r="D601" s="44"/>
      <c r="E601" s="44"/>
      <c r="F601" s="44"/>
      <c r="G601" s="44"/>
      <c r="H601" s="44"/>
      <c r="I601" s="44"/>
      <c r="J601" s="76"/>
    </row>
    <row r="602" spans="2:10" ht="15">
      <c r="B602" s="76"/>
      <c r="C602" s="76"/>
      <c r="D602" s="44"/>
      <c r="E602" s="44"/>
      <c r="F602" s="44"/>
      <c r="G602" s="44"/>
      <c r="H602" s="44"/>
      <c r="I602" s="44"/>
      <c r="J602" s="76"/>
    </row>
    <row r="603" spans="2:10" ht="15">
      <c r="B603" s="76"/>
      <c r="C603" s="76"/>
      <c r="D603" s="44"/>
      <c r="E603" s="44"/>
      <c r="F603" s="44"/>
      <c r="G603" s="44"/>
      <c r="H603" s="44"/>
      <c r="I603" s="44"/>
      <c r="J603" s="76"/>
    </row>
    <row r="604" spans="2:10" ht="15">
      <c r="B604" s="76"/>
      <c r="C604" s="76"/>
      <c r="D604" s="44"/>
      <c r="E604" s="44"/>
      <c r="F604" s="44"/>
      <c r="G604" s="44"/>
      <c r="H604" s="44"/>
      <c r="I604" s="44"/>
      <c r="J604" s="76"/>
    </row>
    <row r="605" spans="2:10" ht="15">
      <c r="B605" s="76"/>
      <c r="C605" s="76"/>
      <c r="D605" s="44"/>
      <c r="E605" s="44"/>
      <c r="F605" s="44"/>
      <c r="G605" s="44"/>
      <c r="H605" s="44"/>
      <c r="I605" s="44"/>
      <c r="J605" s="76"/>
    </row>
    <row r="606" spans="2:10" ht="15">
      <c r="B606" s="76"/>
      <c r="C606" s="76"/>
      <c r="D606" s="44"/>
      <c r="E606" s="44"/>
      <c r="F606" s="44"/>
      <c r="G606" s="44"/>
      <c r="H606" s="44"/>
      <c r="I606" s="44"/>
      <c r="J606" s="76"/>
    </row>
    <row r="607" spans="2:10" ht="15">
      <c r="B607" s="76"/>
      <c r="C607" s="76"/>
      <c r="D607" s="44"/>
      <c r="E607" s="44"/>
      <c r="F607" s="44"/>
      <c r="G607" s="44"/>
      <c r="H607" s="44"/>
      <c r="I607" s="44"/>
      <c r="J607" s="76"/>
    </row>
    <row r="608" spans="2:10" ht="15">
      <c r="B608" s="76"/>
      <c r="C608" s="76"/>
      <c r="D608" s="44"/>
      <c r="E608" s="44"/>
      <c r="F608" s="44"/>
      <c r="G608" s="44"/>
      <c r="H608" s="44"/>
      <c r="I608" s="44"/>
      <c r="J608" s="76"/>
    </row>
    <row r="609" spans="2:10" ht="15">
      <c r="B609" s="76"/>
      <c r="C609" s="76"/>
      <c r="D609" s="44"/>
      <c r="E609" s="44"/>
      <c r="F609" s="44"/>
      <c r="G609" s="44"/>
      <c r="H609" s="44"/>
      <c r="I609" s="44"/>
      <c r="J609" s="76"/>
    </row>
    <row r="610" spans="2:10" ht="15">
      <c r="B610" s="76"/>
      <c r="C610" s="76"/>
      <c r="D610" s="44"/>
      <c r="E610" s="44"/>
      <c r="F610" s="44"/>
      <c r="G610" s="44"/>
      <c r="H610" s="44"/>
      <c r="I610" s="44"/>
      <c r="J610" s="76"/>
    </row>
    <row r="611" spans="2:10" ht="15">
      <c r="B611" s="76"/>
      <c r="C611" s="76"/>
      <c r="D611" s="44"/>
      <c r="E611" s="44"/>
      <c r="F611" s="44"/>
      <c r="G611" s="44"/>
      <c r="H611" s="44"/>
      <c r="I611" s="44"/>
      <c r="J611" s="76"/>
    </row>
    <row r="612" spans="2:10" ht="15">
      <c r="B612" s="76"/>
      <c r="C612" s="76"/>
      <c r="D612" s="44"/>
      <c r="E612" s="44"/>
      <c r="F612" s="44"/>
      <c r="G612" s="44"/>
      <c r="H612" s="44"/>
      <c r="I612" s="44"/>
      <c r="J612" s="76"/>
    </row>
    <row r="613" spans="2:10" ht="15">
      <c r="B613" s="76"/>
      <c r="C613" s="76"/>
      <c r="D613" s="44"/>
      <c r="E613" s="44"/>
      <c r="F613" s="44"/>
      <c r="G613" s="44"/>
      <c r="H613" s="44"/>
      <c r="I613" s="44"/>
      <c r="J613" s="76"/>
    </row>
    <row r="614" spans="2:10" ht="15">
      <c r="B614" s="76"/>
      <c r="C614" s="76"/>
      <c r="D614" s="44"/>
      <c r="E614" s="44"/>
      <c r="F614" s="44"/>
      <c r="G614" s="44"/>
      <c r="H614" s="44"/>
      <c r="I614" s="44"/>
      <c r="J614" s="76"/>
    </row>
    <row r="615" spans="2:10" ht="15">
      <c r="B615" s="76"/>
      <c r="C615" s="76"/>
      <c r="D615" s="44"/>
      <c r="E615" s="44"/>
      <c r="F615" s="44"/>
      <c r="G615" s="44"/>
      <c r="H615" s="44"/>
      <c r="I615" s="44"/>
      <c r="J615" s="76"/>
    </row>
    <row r="616" spans="2:10" ht="15">
      <c r="B616" s="76"/>
      <c r="C616" s="76"/>
      <c r="D616" s="44"/>
      <c r="E616" s="44"/>
      <c r="F616" s="44"/>
      <c r="G616" s="44"/>
      <c r="H616" s="44"/>
      <c r="I616" s="44"/>
      <c r="J616" s="76"/>
    </row>
    <row r="617" spans="2:10" ht="15">
      <c r="B617" s="76"/>
      <c r="C617" s="76"/>
      <c r="D617" s="44"/>
      <c r="E617" s="44"/>
      <c r="F617" s="44"/>
      <c r="G617" s="44"/>
      <c r="H617" s="44"/>
      <c r="I617" s="44"/>
      <c r="J617" s="76"/>
    </row>
    <row r="618" spans="2:10" ht="15">
      <c r="B618" s="76"/>
      <c r="C618" s="76"/>
      <c r="D618" s="44"/>
      <c r="E618" s="44"/>
      <c r="F618" s="44"/>
      <c r="G618" s="44"/>
      <c r="H618" s="44"/>
      <c r="I618" s="44"/>
      <c r="J618" s="76"/>
    </row>
    <row r="619" spans="2:10" ht="15">
      <c r="B619" s="76"/>
      <c r="C619" s="76"/>
      <c r="D619" s="44"/>
      <c r="E619" s="44"/>
      <c r="F619" s="44"/>
      <c r="G619" s="44"/>
      <c r="H619" s="44"/>
      <c r="I619" s="44"/>
      <c r="J619" s="76"/>
    </row>
    <row r="620" spans="2:10" ht="15">
      <c r="B620" s="76"/>
      <c r="C620" s="76"/>
      <c r="D620" s="44"/>
      <c r="E620" s="44"/>
      <c r="F620" s="44"/>
      <c r="G620" s="44"/>
      <c r="H620" s="44"/>
      <c r="I620" s="44"/>
      <c r="J620" s="76"/>
    </row>
    <row r="621" spans="2:10" ht="15">
      <c r="B621" s="76"/>
      <c r="C621" s="76"/>
      <c r="D621" s="44"/>
      <c r="E621" s="44"/>
      <c r="F621" s="44"/>
      <c r="G621" s="44"/>
      <c r="H621" s="44"/>
      <c r="I621" s="44"/>
      <c r="J621" s="76"/>
    </row>
    <row r="622" spans="2:10" ht="15">
      <c r="B622" s="76"/>
      <c r="C622" s="76"/>
      <c r="D622" s="44"/>
      <c r="E622" s="44"/>
      <c r="F622" s="44"/>
      <c r="G622" s="44"/>
      <c r="H622" s="44"/>
      <c r="I622" s="44"/>
      <c r="J622" s="76"/>
    </row>
    <row r="623" spans="2:10" ht="15">
      <c r="B623" s="76"/>
      <c r="C623" s="76"/>
      <c r="D623" s="44"/>
      <c r="E623" s="44"/>
      <c r="F623" s="44"/>
      <c r="G623" s="44"/>
      <c r="H623" s="44"/>
      <c r="I623" s="44"/>
      <c r="J623" s="76"/>
    </row>
    <row r="624" spans="2:10" ht="15">
      <c r="B624" s="76"/>
      <c r="C624" s="76"/>
      <c r="D624" s="44"/>
      <c r="E624" s="44"/>
      <c r="F624" s="44"/>
      <c r="G624" s="44"/>
      <c r="H624" s="44"/>
      <c r="I624" s="44"/>
      <c r="J624" s="76"/>
    </row>
    <row r="625" spans="2:10" ht="15">
      <c r="B625" s="76"/>
      <c r="C625" s="76"/>
      <c r="D625" s="44"/>
      <c r="E625" s="44"/>
      <c r="F625" s="44"/>
      <c r="G625" s="44"/>
      <c r="H625" s="44"/>
      <c r="I625" s="44"/>
      <c r="J625" s="76"/>
    </row>
    <row r="626" spans="2:10" ht="15">
      <c r="B626" s="76"/>
      <c r="C626" s="76"/>
      <c r="D626" s="44"/>
      <c r="E626" s="44"/>
      <c r="F626" s="44"/>
      <c r="G626" s="44"/>
      <c r="H626" s="44"/>
      <c r="I626" s="44"/>
      <c r="J626" s="76"/>
    </row>
    <row r="627" spans="2:10" ht="15">
      <c r="B627" s="76"/>
      <c r="C627" s="76"/>
      <c r="D627" s="44"/>
      <c r="E627" s="44"/>
      <c r="F627" s="44"/>
      <c r="G627" s="44"/>
      <c r="H627" s="44"/>
      <c r="I627" s="44"/>
      <c r="J627" s="76"/>
    </row>
    <row r="628" spans="2:10" ht="15">
      <c r="B628" s="76"/>
      <c r="C628" s="76"/>
      <c r="D628" s="44"/>
      <c r="E628" s="44"/>
      <c r="F628" s="44"/>
      <c r="G628" s="44"/>
      <c r="H628" s="44"/>
      <c r="I628" s="44"/>
      <c r="J628" s="76"/>
    </row>
    <row r="629" spans="2:10" ht="15">
      <c r="B629" s="76"/>
      <c r="C629" s="76"/>
      <c r="D629" s="44"/>
      <c r="E629" s="44"/>
      <c r="F629" s="44"/>
      <c r="G629" s="44"/>
      <c r="H629" s="44"/>
      <c r="I629" s="44"/>
      <c r="J629" s="76"/>
    </row>
    <row r="630" spans="2:10" ht="15">
      <c r="B630" s="76"/>
      <c r="C630" s="76"/>
      <c r="D630" s="44"/>
      <c r="E630" s="44"/>
      <c r="F630" s="44"/>
      <c r="G630" s="44"/>
      <c r="H630" s="44"/>
      <c r="I630" s="44"/>
      <c r="J630" s="76"/>
    </row>
    <row r="631" spans="2:10" ht="15">
      <c r="B631" s="76"/>
      <c r="C631" s="76"/>
      <c r="D631" s="44"/>
      <c r="E631" s="44"/>
      <c r="F631" s="44"/>
      <c r="G631" s="44"/>
      <c r="H631" s="44"/>
      <c r="I631" s="44"/>
      <c r="J631" s="76"/>
    </row>
    <row r="632" spans="2:10" ht="15">
      <c r="B632" s="76"/>
      <c r="C632" s="76"/>
      <c r="D632" s="44"/>
      <c r="E632" s="44"/>
      <c r="F632" s="44"/>
      <c r="G632" s="44"/>
      <c r="H632" s="44"/>
      <c r="I632" s="44"/>
      <c r="J632" s="76"/>
    </row>
    <row r="633" spans="2:10" ht="15">
      <c r="B633" s="76"/>
      <c r="C633" s="76"/>
      <c r="D633" s="44"/>
      <c r="E633" s="44"/>
      <c r="F633" s="44"/>
      <c r="G633" s="44"/>
      <c r="H633" s="44"/>
      <c r="I633" s="44"/>
      <c r="J633" s="76"/>
    </row>
    <row r="634" spans="2:10" ht="15">
      <c r="B634" s="76"/>
      <c r="C634" s="76"/>
      <c r="D634" s="44"/>
      <c r="E634" s="44"/>
      <c r="F634" s="44"/>
      <c r="G634" s="44"/>
      <c r="H634" s="44"/>
      <c r="I634" s="44"/>
      <c r="J634" s="76"/>
    </row>
    <row r="635" spans="2:10" ht="15">
      <c r="B635" s="76"/>
      <c r="C635" s="76"/>
      <c r="D635" s="44"/>
      <c r="E635" s="44"/>
      <c r="F635" s="44"/>
      <c r="G635" s="44"/>
      <c r="H635" s="44"/>
      <c r="I635" s="44"/>
      <c r="J635" s="76"/>
    </row>
    <row r="636" spans="2:10" ht="15">
      <c r="B636" s="76"/>
      <c r="C636" s="76"/>
      <c r="D636" s="44"/>
      <c r="E636" s="44"/>
      <c r="F636" s="44"/>
      <c r="G636" s="44"/>
      <c r="H636" s="44"/>
      <c r="I636" s="44"/>
      <c r="J636" s="76"/>
    </row>
    <row r="637" spans="2:10" ht="15">
      <c r="B637" s="76"/>
      <c r="C637" s="76"/>
      <c r="D637" s="44"/>
      <c r="E637" s="44"/>
      <c r="F637" s="44"/>
      <c r="G637" s="44"/>
      <c r="H637" s="44"/>
      <c r="I637" s="44"/>
      <c r="J637" s="76"/>
    </row>
    <row r="638" spans="2:10" ht="15">
      <c r="B638" s="76"/>
      <c r="C638" s="76"/>
      <c r="D638" s="44"/>
      <c r="E638" s="44"/>
      <c r="F638" s="44"/>
      <c r="G638" s="44"/>
      <c r="H638" s="44"/>
      <c r="I638" s="44"/>
      <c r="J638" s="76"/>
    </row>
    <row r="639" spans="2:10" ht="15">
      <c r="B639" s="76"/>
      <c r="C639" s="76"/>
      <c r="D639" s="44"/>
      <c r="E639" s="44"/>
      <c r="F639" s="44"/>
      <c r="G639" s="44"/>
      <c r="H639" s="44"/>
      <c r="I639" s="44"/>
      <c r="J639" s="76"/>
    </row>
    <row r="640" spans="2:10" ht="15">
      <c r="B640" s="76"/>
      <c r="C640" s="76"/>
      <c r="D640" s="44"/>
      <c r="E640" s="44"/>
      <c r="F640" s="44"/>
      <c r="G640" s="44"/>
      <c r="H640" s="44"/>
      <c r="I640" s="44"/>
      <c r="J640" s="76"/>
    </row>
    <row r="641" spans="2:10" ht="15">
      <c r="B641" s="76"/>
      <c r="C641" s="76"/>
      <c r="D641" s="44"/>
      <c r="E641" s="44"/>
      <c r="F641" s="44"/>
      <c r="G641" s="44"/>
      <c r="H641" s="44"/>
      <c r="I641" s="44"/>
      <c r="J641" s="76"/>
    </row>
    <row r="642" spans="2:10" ht="15">
      <c r="B642" s="76"/>
      <c r="C642" s="76"/>
      <c r="D642" s="44"/>
      <c r="E642" s="44"/>
      <c r="F642" s="44"/>
      <c r="G642" s="44"/>
      <c r="H642" s="44"/>
      <c r="I642" s="44"/>
      <c r="J642" s="76"/>
    </row>
    <row r="643" spans="2:10" ht="15">
      <c r="B643" s="76"/>
      <c r="C643" s="76"/>
      <c r="D643" s="44"/>
      <c r="E643" s="44"/>
      <c r="F643" s="44"/>
      <c r="G643" s="44"/>
      <c r="H643" s="44"/>
      <c r="I643" s="44"/>
      <c r="J643" s="76"/>
    </row>
    <row r="644" spans="2:10" ht="15">
      <c r="B644" s="76"/>
      <c r="C644" s="76"/>
      <c r="D644" s="44"/>
      <c r="E644" s="44"/>
      <c r="F644" s="44"/>
      <c r="G644" s="44"/>
      <c r="H644" s="44"/>
      <c r="I644" s="44"/>
      <c r="J644" s="76"/>
    </row>
    <row r="645" spans="2:10" ht="15">
      <c r="B645" s="76"/>
      <c r="C645" s="76"/>
      <c r="D645" s="44"/>
      <c r="E645" s="44"/>
      <c r="F645" s="44"/>
      <c r="G645" s="44"/>
      <c r="H645" s="44"/>
      <c r="I645" s="44"/>
      <c r="J645" s="76"/>
    </row>
    <row r="646" spans="2:10" ht="15">
      <c r="B646" s="76"/>
      <c r="C646" s="76"/>
      <c r="D646" s="44"/>
      <c r="E646" s="44"/>
      <c r="F646" s="44"/>
      <c r="G646" s="44"/>
      <c r="H646" s="44"/>
      <c r="I646" s="44"/>
      <c r="J646" s="76"/>
    </row>
    <row r="647" spans="2:10" ht="15">
      <c r="B647" s="76"/>
      <c r="C647" s="76"/>
      <c r="D647" s="44"/>
      <c r="E647" s="44"/>
      <c r="F647" s="44"/>
      <c r="G647" s="44"/>
      <c r="H647" s="44"/>
      <c r="I647" s="44"/>
      <c r="J647" s="76"/>
    </row>
    <row r="648" spans="2:10" ht="15">
      <c r="B648" s="76"/>
      <c r="C648" s="76"/>
      <c r="D648" s="44"/>
      <c r="E648" s="44"/>
      <c r="F648" s="44"/>
      <c r="G648" s="44"/>
      <c r="H648" s="44"/>
      <c r="I648" s="44"/>
      <c r="J648" s="76"/>
    </row>
    <row r="649" spans="2:10" ht="15">
      <c r="B649" s="76"/>
      <c r="C649" s="76"/>
      <c r="D649" s="44"/>
      <c r="E649" s="44"/>
      <c r="F649" s="44"/>
      <c r="G649" s="44"/>
      <c r="H649" s="44"/>
      <c r="I649" s="44"/>
      <c r="J649" s="76"/>
    </row>
    <row r="650" spans="2:10" ht="15">
      <c r="B650" s="76"/>
      <c r="C650" s="76"/>
      <c r="D650" s="44"/>
      <c r="E650" s="44"/>
      <c r="F650" s="44"/>
      <c r="G650" s="44"/>
      <c r="H650" s="44"/>
      <c r="I650" s="44"/>
      <c r="J650" s="76"/>
    </row>
    <row r="651" spans="2:10" ht="15">
      <c r="B651" s="76"/>
      <c r="C651" s="76"/>
      <c r="D651" s="44"/>
      <c r="E651" s="44"/>
      <c r="F651" s="44"/>
      <c r="G651" s="44"/>
      <c r="H651" s="44"/>
      <c r="I651" s="44"/>
      <c r="J651" s="76"/>
    </row>
    <row r="652" spans="2:10" ht="15">
      <c r="B652" s="76"/>
      <c r="C652" s="76"/>
      <c r="D652" s="44"/>
      <c r="E652" s="44"/>
      <c r="F652" s="44"/>
      <c r="G652" s="44"/>
      <c r="H652" s="44"/>
      <c r="I652" s="44"/>
      <c r="J652" s="76"/>
    </row>
    <row r="653" spans="2:10" ht="15">
      <c r="B653" s="76"/>
      <c r="C653" s="76"/>
      <c r="D653" s="44"/>
      <c r="E653" s="44"/>
      <c r="F653" s="44"/>
      <c r="G653" s="44"/>
      <c r="H653" s="44"/>
      <c r="I653" s="44"/>
      <c r="J653" s="76"/>
    </row>
    <row r="654" spans="2:10" ht="15">
      <c r="B654" s="76"/>
      <c r="C654" s="76"/>
      <c r="D654" s="44"/>
      <c r="E654" s="44"/>
      <c r="F654" s="44"/>
      <c r="G654" s="44"/>
      <c r="H654" s="44"/>
      <c r="I654" s="44"/>
      <c r="J654" s="76"/>
    </row>
    <row r="655" spans="2:10" ht="15">
      <c r="B655" s="76"/>
      <c r="C655" s="76"/>
      <c r="D655" s="44"/>
      <c r="E655" s="44"/>
      <c r="F655" s="44"/>
      <c r="G655" s="44"/>
      <c r="H655" s="44"/>
      <c r="I655" s="44"/>
      <c r="J655" s="76"/>
    </row>
    <row r="656" spans="2:10" ht="15">
      <c r="B656" s="76"/>
      <c r="C656" s="76"/>
      <c r="D656" s="44"/>
      <c r="E656" s="44"/>
      <c r="F656" s="44"/>
      <c r="G656" s="44"/>
      <c r="H656" s="44"/>
      <c r="I656" s="44"/>
      <c r="J656" s="76"/>
    </row>
    <row r="657" spans="2:10" ht="15">
      <c r="B657" s="76"/>
      <c r="C657" s="76"/>
      <c r="D657" s="44"/>
      <c r="E657" s="44"/>
      <c r="F657" s="44"/>
      <c r="G657" s="44"/>
      <c r="H657" s="44"/>
      <c r="I657" s="44"/>
      <c r="J657" s="76"/>
    </row>
    <row r="658" spans="2:10" ht="15">
      <c r="B658" s="76"/>
      <c r="C658" s="76"/>
      <c r="D658" s="44"/>
      <c r="E658" s="44"/>
      <c r="F658" s="44"/>
      <c r="G658" s="44"/>
      <c r="H658" s="44"/>
      <c r="I658" s="44"/>
      <c r="J658" s="76"/>
    </row>
    <row r="659" spans="2:10" ht="15">
      <c r="B659" s="76"/>
      <c r="C659" s="76"/>
      <c r="D659" s="44"/>
      <c r="E659" s="44"/>
      <c r="F659" s="44"/>
      <c r="G659" s="44"/>
      <c r="H659" s="44"/>
      <c r="I659" s="44"/>
      <c r="J659" s="76"/>
    </row>
    <row r="660" spans="2:10" ht="15">
      <c r="B660" s="76"/>
      <c r="C660" s="76"/>
      <c r="D660" s="44"/>
      <c r="E660" s="44"/>
      <c r="F660" s="44"/>
      <c r="G660" s="44"/>
      <c r="H660" s="44"/>
      <c r="I660" s="44"/>
      <c r="J660" s="76"/>
    </row>
    <row r="661" spans="2:10" ht="15">
      <c r="B661" s="76"/>
      <c r="C661" s="76"/>
      <c r="D661" s="44"/>
      <c r="E661" s="44"/>
      <c r="F661" s="44"/>
      <c r="G661" s="44"/>
      <c r="H661" s="44"/>
      <c r="I661" s="44"/>
      <c r="J661" s="76"/>
    </row>
    <row r="662" spans="2:10" ht="15">
      <c r="B662" s="76"/>
      <c r="C662" s="76"/>
      <c r="D662" s="44"/>
      <c r="E662" s="44"/>
      <c r="F662" s="44"/>
      <c r="G662" s="44"/>
      <c r="H662" s="44"/>
      <c r="I662" s="44"/>
      <c r="J662" s="76"/>
    </row>
    <row r="663" spans="2:10" ht="15">
      <c r="B663" s="76"/>
      <c r="C663" s="76"/>
      <c r="D663" s="44"/>
      <c r="E663" s="44"/>
      <c r="F663" s="44"/>
      <c r="G663" s="44"/>
      <c r="H663" s="44"/>
      <c r="I663" s="44"/>
      <c r="J663" s="76"/>
    </row>
    <row r="664" spans="2:10" ht="15">
      <c r="B664" s="76"/>
      <c r="C664" s="76"/>
      <c r="D664" s="44"/>
      <c r="E664" s="44"/>
      <c r="F664" s="44"/>
      <c r="G664" s="44"/>
      <c r="H664" s="44"/>
      <c r="I664" s="44"/>
      <c r="J664" s="76"/>
    </row>
    <row r="665" spans="2:10" ht="15">
      <c r="B665" s="76"/>
      <c r="C665" s="76"/>
      <c r="D665" s="44"/>
      <c r="E665" s="44"/>
      <c r="F665" s="44"/>
      <c r="G665" s="44"/>
      <c r="H665" s="44"/>
      <c r="I665" s="44"/>
      <c r="J665" s="76"/>
    </row>
    <row r="666" spans="2:10" ht="15">
      <c r="B666" s="76"/>
      <c r="C666" s="76"/>
      <c r="D666" s="44"/>
      <c r="E666" s="44"/>
      <c r="F666" s="44"/>
      <c r="G666" s="44"/>
      <c r="H666" s="44"/>
      <c r="I666" s="44"/>
      <c r="J666" s="76"/>
    </row>
    <row r="667" spans="2:10" ht="15">
      <c r="B667" s="76"/>
      <c r="C667" s="76"/>
      <c r="D667" s="44"/>
      <c r="E667" s="44"/>
      <c r="F667" s="44"/>
      <c r="G667" s="44"/>
      <c r="H667" s="44"/>
      <c r="I667" s="44"/>
      <c r="J667" s="76"/>
    </row>
    <row r="668" spans="2:10" ht="15">
      <c r="B668" s="76"/>
      <c r="C668" s="76"/>
      <c r="D668" s="44"/>
      <c r="E668" s="44"/>
      <c r="F668" s="44"/>
      <c r="G668" s="44"/>
      <c r="H668" s="44"/>
      <c r="I668" s="44"/>
      <c r="J668" s="76"/>
    </row>
    <row r="669" spans="2:10" ht="15">
      <c r="B669" s="76"/>
      <c r="C669" s="76"/>
      <c r="D669" s="44"/>
      <c r="E669" s="44"/>
      <c r="F669" s="44"/>
      <c r="G669" s="44"/>
      <c r="H669" s="44"/>
      <c r="I669" s="44"/>
      <c r="J669" s="76"/>
    </row>
    <row r="670" spans="2:10" ht="15">
      <c r="B670" s="76"/>
      <c r="C670" s="76"/>
      <c r="D670" s="44"/>
      <c r="E670" s="44"/>
      <c r="F670" s="44"/>
      <c r="G670" s="44"/>
      <c r="H670" s="44"/>
      <c r="I670" s="44"/>
      <c r="J670" s="76"/>
    </row>
    <row r="671" spans="2:10" ht="15">
      <c r="B671" s="76"/>
      <c r="C671" s="76"/>
      <c r="D671" s="44"/>
      <c r="E671" s="44"/>
      <c r="F671" s="44"/>
      <c r="G671" s="44"/>
      <c r="H671" s="44"/>
      <c r="I671" s="44"/>
      <c r="J671" s="76"/>
    </row>
    <row r="672" spans="2:10" ht="15">
      <c r="B672" s="76"/>
      <c r="C672" s="76"/>
      <c r="D672" s="44"/>
      <c r="E672" s="44"/>
      <c r="F672" s="44"/>
      <c r="G672" s="44"/>
      <c r="H672" s="44"/>
      <c r="I672" s="44"/>
      <c r="J672" s="76"/>
    </row>
    <row r="673" spans="2:10" ht="15">
      <c r="B673" s="76"/>
      <c r="C673" s="76"/>
      <c r="D673" s="44"/>
      <c r="E673" s="44"/>
      <c r="F673" s="44"/>
      <c r="G673" s="44"/>
      <c r="H673" s="44"/>
      <c r="I673" s="44"/>
      <c r="J673" s="76"/>
    </row>
    <row r="674" spans="2:10" ht="15">
      <c r="B674" s="76"/>
      <c r="C674" s="76"/>
      <c r="D674" s="44"/>
      <c r="E674" s="44"/>
      <c r="F674" s="44"/>
      <c r="G674" s="44"/>
      <c r="H674" s="44"/>
      <c r="I674" s="44"/>
      <c r="J674" s="76"/>
    </row>
    <row r="675" spans="2:10" ht="15">
      <c r="B675" s="76"/>
      <c r="C675" s="76"/>
      <c r="D675" s="44"/>
      <c r="E675" s="44"/>
      <c r="F675" s="44"/>
      <c r="G675" s="44"/>
      <c r="H675" s="44"/>
      <c r="I675" s="44"/>
      <c r="J675" s="76"/>
    </row>
    <row r="676" spans="2:10" ht="15">
      <c r="B676" s="76"/>
      <c r="C676" s="76"/>
      <c r="D676" s="44"/>
      <c r="E676" s="44"/>
      <c r="F676" s="44"/>
      <c r="G676" s="44"/>
      <c r="H676" s="44"/>
      <c r="I676" s="44"/>
      <c r="J676" s="76"/>
    </row>
    <row r="677" spans="2:10" ht="15">
      <c r="B677" s="76"/>
      <c r="C677" s="76"/>
      <c r="D677" s="44"/>
      <c r="E677" s="44"/>
      <c r="F677" s="44"/>
      <c r="G677" s="44"/>
      <c r="H677" s="44"/>
      <c r="I677" s="44"/>
      <c r="J677" s="76"/>
    </row>
    <row r="678" spans="2:10" ht="15">
      <c r="B678" s="76"/>
      <c r="C678" s="76"/>
      <c r="D678" s="44"/>
      <c r="E678" s="44"/>
      <c r="F678" s="44"/>
      <c r="G678" s="44"/>
      <c r="H678" s="44"/>
      <c r="I678" s="44"/>
      <c r="J678" s="76"/>
    </row>
    <row r="679" spans="2:10" ht="15">
      <c r="B679" s="76"/>
      <c r="C679" s="76"/>
      <c r="D679" s="44"/>
      <c r="E679" s="44"/>
      <c r="F679" s="44"/>
      <c r="G679" s="44"/>
      <c r="H679" s="44"/>
      <c r="I679" s="44"/>
      <c r="J679" s="76"/>
    </row>
    <row r="680" spans="2:10" ht="15">
      <c r="B680" s="76"/>
      <c r="C680" s="76"/>
      <c r="D680" s="44"/>
      <c r="E680" s="44"/>
      <c r="F680" s="44"/>
      <c r="G680" s="44"/>
      <c r="H680" s="44"/>
      <c r="I680" s="44"/>
      <c r="J680" s="76"/>
    </row>
    <row r="681" spans="2:10" ht="15">
      <c r="B681" s="76"/>
      <c r="C681" s="76"/>
      <c r="D681" s="44"/>
      <c r="E681" s="44"/>
      <c r="F681" s="44"/>
      <c r="G681" s="44"/>
      <c r="H681" s="44"/>
      <c r="I681" s="44"/>
      <c r="J681" s="76"/>
    </row>
    <row r="682" spans="2:10" ht="15">
      <c r="B682" s="76"/>
      <c r="C682" s="76"/>
      <c r="D682" s="44"/>
      <c r="E682" s="44"/>
      <c r="F682" s="44"/>
      <c r="G682" s="44"/>
      <c r="H682" s="44"/>
      <c r="I682" s="44"/>
      <c r="J682" s="76"/>
    </row>
    <row r="683" spans="2:10" ht="15">
      <c r="B683" s="76"/>
      <c r="C683" s="76"/>
      <c r="D683" s="44"/>
      <c r="E683" s="44"/>
      <c r="F683" s="44"/>
      <c r="G683" s="44"/>
      <c r="H683" s="44"/>
      <c r="I683" s="44"/>
      <c r="J683" s="76"/>
    </row>
    <row r="684" spans="2:10" ht="15">
      <c r="B684" s="76"/>
      <c r="C684" s="76"/>
      <c r="D684" s="44"/>
      <c r="E684" s="44"/>
      <c r="F684" s="44"/>
      <c r="G684" s="44"/>
      <c r="H684" s="44"/>
      <c r="I684" s="44"/>
      <c r="J684" s="76"/>
    </row>
    <row r="685" spans="2:10" ht="15">
      <c r="B685" s="76"/>
      <c r="C685" s="76"/>
      <c r="D685" s="44"/>
      <c r="E685" s="44"/>
      <c r="F685" s="44"/>
      <c r="G685" s="44"/>
      <c r="H685" s="44"/>
      <c r="I685" s="44"/>
      <c r="J685" s="76"/>
    </row>
    <row r="686" spans="2:10" ht="15">
      <c r="B686" s="76"/>
      <c r="C686" s="76"/>
      <c r="D686" s="44"/>
      <c r="E686" s="44"/>
      <c r="F686" s="44"/>
      <c r="G686" s="44"/>
      <c r="H686" s="44"/>
      <c r="I686" s="44"/>
      <c r="J686" s="76"/>
    </row>
    <row r="687" spans="2:10" ht="15">
      <c r="B687" s="76"/>
      <c r="C687" s="76"/>
      <c r="D687" s="44"/>
      <c r="E687" s="44"/>
      <c r="F687" s="44"/>
      <c r="G687" s="44"/>
      <c r="H687" s="44"/>
      <c r="I687" s="44"/>
      <c r="J687" s="76"/>
    </row>
    <row r="688" spans="2:10" ht="15">
      <c r="B688" s="76"/>
      <c r="C688" s="76"/>
      <c r="D688" s="44"/>
      <c r="E688" s="44"/>
      <c r="F688" s="44"/>
      <c r="G688" s="44"/>
      <c r="H688" s="44"/>
      <c r="I688" s="44"/>
      <c r="J688" s="76"/>
    </row>
    <row r="689" spans="2:10" ht="15">
      <c r="B689" s="76"/>
      <c r="C689" s="76"/>
      <c r="D689" s="44"/>
      <c r="E689" s="44"/>
      <c r="F689" s="44"/>
      <c r="G689" s="44"/>
      <c r="H689" s="44"/>
      <c r="I689" s="44"/>
      <c r="J689" s="76"/>
    </row>
    <row r="690" spans="2:10" ht="15">
      <c r="B690" s="76"/>
      <c r="C690" s="76"/>
      <c r="D690" s="44"/>
      <c r="E690" s="44"/>
      <c r="F690" s="44"/>
      <c r="G690" s="44"/>
      <c r="H690" s="44"/>
      <c r="I690" s="44"/>
      <c r="J690" s="76"/>
    </row>
    <row r="691" spans="2:10" ht="15">
      <c r="B691" s="76"/>
      <c r="C691" s="76"/>
      <c r="D691" s="44"/>
      <c r="E691" s="44"/>
      <c r="F691" s="44"/>
      <c r="G691" s="44"/>
      <c r="H691" s="44"/>
      <c r="I691" s="44"/>
      <c r="J691" s="76"/>
    </row>
    <row r="692" spans="2:10" ht="15">
      <c r="B692" s="76"/>
      <c r="C692" s="76"/>
      <c r="D692" s="44"/>
      <c r="E692" s="44"/>
      <c r="F692" s="44"/>
      <c r="G692" s="44"/>
      <c r="H692" s="44"/>
      <c r="I692" s="44"/>
      <c r="J692" s="76"/>
    </row>
    <row r="693" spans="2:10" ht="15">
      <c r="B693" s="76"/>
      <c r="C693" s="76"/>
      <c r="D693" s="44"/>
      <c r="E693" s="44"/>
      <c r="F693" s="44"/>
      <c r="G693" s="44"/>
      <c r="H693" s="44"/>
      <c r="I693" s="44"/>
      <c r="J693" s="76"/>
    </row>
    <row r="694" spans="2:10" ht="15">
      <c r="B694" s="76"/>
      <c r="C694" s="76"/>
      <c r="D694" s="44"/>
      <c r="E694" s="44"/>
      <c r="F694" s="44"/>
      <c r="G694" s="44"/>
      <c r="H694" s="44"/>
      <c r="I694" s="44"/>
      <c r="J694" s="76"/>
    </row>
    <row r="695" spans="2:10" ht="15">
      <c r="B695" s="76"/>
      <c r="C695" s="76"/>
      <c r="D695" s="44"/>
      <c r="E695" s="44"/>
      <c r="F695" s="44"/>
      <c r="G695" s="44"/>
      <c r="H695" s="44"/>
      <c r="I695" s="44"/>
      <c r="J695" s="76"/>
    </row>
    <row r="696" spans="2:10" ht="15">
      <c r="B696" s="76"/>
      <c r="C696" s="76"/>
      <c r="D696" s="44"/>
      <c r="E696" s="44"/>
      <c r="F696" s="44"/>
      <c r="G696" s="44"/>
      <c r="H696" s="44"/>
      <c r="I696" s="44"/>
      <c r="J696" s="76"/>
    </row>
    <row r="697" spans="2:10" ht="15">
      <c r="B697" s="76"/>
      <c r="C697" s="76"/>
      <c r="D697" s="44"/>
      <c r="E697" s="44"/>
      <c r="F697" s="44"/>
      <c r="G697" s="44"/>
      <c r="H697" s="44"/>
      <c r="I697" s="44"/>
      <c r="J697" s="76"/>
    </row>
    <row r="698" spans="2:10" ht="15">
      <c r="B698" s="76"/>
      <c r="C698" s="76"/>
      <c r="D698" s="44"/>
      <c r="E698" s="44"/>
      <c r="F698" s="44"/>
      <c r="G698" s="44"/>
      <c r="H698" s="44"/>
      <c r="I698" s="44"/>
      <c r="J698" s="76"/>
    </row>
    <row r="699" spans="2:10" ht="15">
      <c r="B699" s="76"/>
      <c r="C699" s="76"/>
      <c r="D699" s="44"/>
      <c r="E699" s="44"/>
      <c r="F699" s="44"/>
      <c r="G699" s="44"/>
      <c r="H699" s="44"/>
      <c r="I699" s="44"/>
      <c r="J699" s="76"/>
    </row>
    <row r="700" spans="2:10" ht="15">
      <c r="B700" s="76"/>
      <c r="C700" s="76"/>
      <c r="D700" s="44"/>
      <c r="E700" s="44"/>
      <c r="F700" s="44"/>
      <c r="G700" s="44"/>
      <c r="H700" s="44"/>
      <c r="I700" s="44"/>
      <c r="J700" s="76"/>
    </row>
    <row r="701" spans="2:10" ht="15">
      <c r="B701" s="76"/>
      <c r="C701" s="76"/>
      <c r="D701" s="44"/>
      <c r="E701" s="44"/>
      <c r="F701" s="44"/>
      <c r="G701" s="44"/>
      <c r="H701" s="44"/>
      <c r="I701" s="44"/>
      <c r="J701" s="76"/>
    </row>
    <row r="702" spans="2:10" ht="15">
      <c r="B702" s="76"/>
      <c r="C702" s="76"/>
      <c r="D702" s="44"/>
      <c r="E702" s="44"/>
      <c r="F702" s="44"/>
      <c r="G702" s="44"/>
      <c r="H702" s="44"/>
      <c r="I702" s="44"/>
      <c r="J702" s="76"/>
    </row>
    <row r="703" spans="2:10" ht="15">
      <c r="B703" s="76"/>
      <c r="C703" s="76"/>
      <c r="D703" s="44"/>
      <c r="E703" s="44"/>
      <c r="F703" s="44"/>
      <c r="G703" s="44"/>
      <c r="H703" s="44"/>
      <c r="I703" s="44"/>
      <c r="J703" s="76"/>
    </row>
    <row r="704" spans="2:10" ht="15">
      <c r="B704" s="76"/>
      <c r="C704" s="76"/>
      <c r="D704" s="44"/>
      <c r="E704" s="44"/>
      <c r="F704" s="44"/>
      <c r="G704" s="44"/>
      <c r="H704" s="44"/>
      <c r="I704" s="44"/>
      <c r="J704" s="76"/>
    </row>
    <row r="705" spans="2:10" ht="15">
      <c r="B705" s="76"/>
      <c r="C705" s="76"/>
      <c r="D705" s="44"/>
      <c r="E705" s="44"/>
      <c r="F705" s="44"/>
      <c r="G705" s="44"/>
      <c r="H705" s="44"/>
      <c r="I705" s="44"/>
      <c r="J705" s="76"/>
    </row>
    <row r="706" spans="2:10" ht="15">
      <c r="B706" s="76"/>
      <c r="C706" s="76"/>
      <c r="D706" s="44"/>
      <c r="E706" s="44"/>
      <c r="F706" s="44"/>
      <c r="G706" s="44"/>
      <c r="H706" s="44"/>
      <c r="I706" s="44"/>
      <c r="J706" s="76"/>
    </row>
    <row r="707" spans="2:10" ht="15">
      <c r="B707" s="76"/>
      <c r="C707" s="76"/>
      <c r="D707" s="44"/>
      <c r="E707" s="44"/>
      <c r="F707" s="44"/>
      <c r="G707" s="44"/>
      <c r="H707" s="44"/>
      <c r="I707" s="44"/>
      <c r="J707" s="76"/>
    </row>
    <row r="708" spans="2:10" ht="15">
      <c r="B708" s="76"/>
      <c r="C708" s="76"/>
      <c r="D708" s="44"/>
      <c r="E708" s="44"/>
      <c r="F708" s="44"/>
      <c r="G708" s="44"/>
      <c r="H708" s="44"/>
      <c r="I708" s="44"/>
      <c r="J708" s="76"/>
    </row>
    <row r="709" spans="2:10" ht="15">
      <c r="B709" s="76"/>
      <c r="C709" s="76"/>
      <c r="D709" s="44"/>
      <c r="E709" s="44"/>
      <c r="F709" s="44"/>
      <c r="G709" s="44"/>
      <c r="H709" s="44"/>
      <c r="I709" s="44"/>
      <c r="J709" s="76"/>
    </row>
    <row r="710" spans="2:10" ht="15">
      <c r="B710" s="76"/>
      <c r="C710" s="76"/>
      <c r="D710" s="44"/>
      <c r="E710" s="44"/>
      <c r="F710" s="44"/>
      <c r="G710" s="44"/>
      <c r="H710" s="44"/>
      <c r="I710" s="44"/>
      <c r="J710" s="76"/>
    </row>
    <row r="711" spans="2:10" ht="15">
      <c r="B711" s="76"/>
      <c r="C711" s="76"/>
      <c r="D711" s="44"/>
      <c r="E711" s="44"/>
      <c r="F711" s="44"/>
      <c r="G711" s="44"/>
      <c r="H711" s="44"/>
      <c r="I711" s="44"/>
      <c r="J711" s="76"/>
    </row>
    <row r="712" spans="2:10" ht="15">
      <c r="B712" s="76"/>
      <c r="C712" s="76"/>
      <c r="D712" s="44"/>
      <c r="E712" s="44"/>
      <c r="F712" s="44"/>
      <c r="G712" s="44"/>
      <c r="H712" s="44"/>
      <c r="I712" s="44"/>
      <c r="J712" s="76"/>
    </row>
    <row r="713" spans="2:10" ht="15">
      <c r="B713" s="76"/>
      <c r="C713" s="76"/>
      <c r="D713" s="44"/>
      <c r="E713" s="44"/>
      <c r="F713" s="44"/>
      <c r="G713" s="44"/>
      <c r="H713" s="44"/>
      <c r="I713" s="44"/>
      <c r="J713" s="76"/>
    </row>
    <row r="714" spans="2:10" ht="15">
      <c r="B714" s="76"/>
      <c r="C714" s="76"/>
      <c r="D714" s="44"/>
      <c r="E714" s="44"/>
      <c r="F714" s="44"/>
      <c r="G714" s="44"/>
      <c r="H714" s="44"/>
      <c r="I714" s="44"/>
      <c r="J714" s="76"/>
    </row>
    <row r="715" spans="2:10" ht="15">
      <c r="B715" s="76"/>
      <c r="C715" s="76"/>
      <c r="D715" s="44"/>
      <c r="E715" s="44"/>
      <c r="F715" s="44"/>
      <c r="G715" s="44"/>
      <c r="H715" s="44"/>
      <c r="I715" s="44"/>
      <c r="J715" s="76"/>
    </row>
    <row r="716" spans="2:10" ht="15">
      <c r="B716" s="76"/>
      <c r="C716" s="76"/>
      <c r="D716" s="44"/>
      <c r="E716" s="44"/>
      <c r="F716" s="44"/>
      <c r="G716" s="44"/>
      <c r="H716" s="44"/>
      <c r="I716" s="44"/>
      <c r="J716" s="76"/>
    </row>
    <row r="717" spans="2:10" ht="15">
      <c r="B717" s="76"/>
      <c r="C717" s="76"/>
      <c r="D717" s="44"/>
      <c r="E717" s="44"/>
      <c r="F717" s="44"/>
      <c r="G717" s="44"/>
      <c r="H717" s="44"/>
      <c r="I717" s="44"/>
      <c r="J717" s="76"/>
    </row>
    <row r="718" spans="2:10" ht="15">
      <c r="B718" s="76"/>
      <c r="C718" s="76"/>
      <c r="D718" s="44"/>
      <c r="E718" s="44"/>
      <c r="F718" s="44"/>
      <c r="G718" s="44"/>
      <c r="H718" s="44"/>
      <c r="I718" s="44"/>
      <c r="J718" s="76"/>
    </row>
    <row r="719" spans="2:10" ht="15">
      <c r="B719" s="76"/>
      <c r="C719" s="76"/>
      <c r="D719" s="44"/>
      <c r="E719" s="44"/>
      <c r="F719" s="44"/>
      <c r="G719" s="44"/>
      <c r="H719" s="44"/>
      <c r="I719" s="44"/>
      <c r="J719" s="76"/>
    </row>
    <row r="720" spans="2:10" ht="15">
      <c r="B720" s="76"/>
      <c r="C720" s="76"/>
      <c r="D720" s="44"/>
      <c r="E720" s="44"/>
      <c r="F720" s="44"/>
      <c r="G720" s="44"/>
      <c r="H720" s="44"/>
      <c r="I720" s="44"/>
      <c r="J720" s="76"/>
    </row>
    <row r="721" spans="2:10" ht="15">
      <c r="B721" s="76"/>
      <c r="C721" s="76"/>
      <c r="D721" s="44"/>
      <c r="E721" s="44"/>
      <c r="F721" s="44"/>
      <c r="G721" s="44"/>
      <c r="H721" s="44"/>
      <c r="I721" s="44"/>
      <c r="J721" s="76"/>
    </row>
    <row r="722" spans="2:10" ht="15">
      <c r="B722" s="76"/>
      <c r="C722" s="76"/>
      <c r="D722" s="44"/>
      <c r="E722" s="44"/>
      <c r="F722" s="44"/>
      <c r="G722" s="44"/>
      <c r="H722" s="44"/>
      <c r="I722" s="44"/>
      <c r="J722" s="76"/>
    </row>
    <row r="723" spans="2:10" ht="15">
      <c r="B723" s="76"/>
      <c r="C723" s="76"/>
      <c r="D723" s="44"/>
      <c r="E723" s="44"/>
      <c r="F723" s="44"/>
      <c r="G723" s="44"/>
      <c r="H723" s="44"/>
      <c r="I723" s="44"/>
      <c r="J723" s="76"/>
    </row>
    <row r="724" spans="2:10" ht="15">
      <c r="B724" s="76"/>
      <c r="C724" s="76"/>
      <c r="D724" s="44"/>
      <c r="E724" s="44"/>
      <c r="F724" s="44"/>
      <c r="G724" s="44"/>
      <c r="H724" s="44"/>
      <c r="I724" s="44"/>
      <c r="J724" s="76"/>
    </row>
    <row r="725" spans="2:10" ht="15">
      <c r="B725" s="76"/>
      <c r="C725" s="76"/>
      <c r="D725" s="44"/>
      <c r="E725" s="44"/>
      <c r="F725" s="44"/>
      <c r="G725" s="44"/>
      <c r="H725" s="44"/>
      <c r="I725" s="44"/>
      <c r="J725" s="76"/>
    </row>
    <row r="726" spans="2:10" ht="15">
      <c r="B726" s="76"/>
      <c r="C726" s="76"/>
      <c r="D726" s="44"/>
      <c r="E726" s="44"/>
      <c r="F726" s="44"/>
      <c r="G726" s="44"/>
      <c r="H726" s="44"/>
      <c r="I726" s="44"/>
      <c r="J726" s="76"/>
    </row>
    <row r="727" spans="2:10" ht="15">
      <c r="B727" s="76"/>
      <c r="C727" s="76"/>
      <c r="D727" s="44"/>
      <c r="E727" s="44"/>
      <c r="F727" s="44"/>
      <c r="G727" s="44"/>
      <c r="H727" s="44"/>
      <c r="I727" s="44"/>
      <c r="J727" s="76"/>
    </row>
    <row r="728" spans="2:10" ht="15">
      <c r="B728" s="76"/>
      <c r="C728" s="76"/>
      <c r="D728" s="44"/>
      <c r="E728" s="44"/>
      <c r="F728" s="44"/>
      <c r="G728" s="44"/>
      <c r="H728" s="44"/>
      <c r="I728" s="44"/>
      <c r="J728" s="76"/>
    </row>
    <row r="729" spans="2:10" ht="15">
      <c r="B729" s="76"/>
      <c r="C729" s="76"/>
      <c r="D729" s="44"/>
      <c r="E729" s="44"/>
      <c r="F729" s="44"/>
      <c r="G729" s="44"/>
      <c r="H729" s="44"/>
      <c r="I729" s="44"/>
      <c r="J729" s="76"/>
    </row>
    <row r="730" spans="2:10" ht="15">
      <c r="B730" s="76"/>
      <c r="C730" s="76"/>
      <c r="D730" s="44"/>
      <c r="E730" s="44"/>
      <c r="F730" s="44"/>
      <c r="G730" s="44"/>
      <c r="H730" s="44"/>
      <c r="I730" s="44"/>
      <c r="J730" s="76"/>
    </row>
    <row r="731" spans="2:10" ht="15">
      <c r="B731" s="76"/>
      <c r="C731" s="76"/>
      <c r="D731" s="44"/>
      <c r="E731" s="44"/>
      <c r="F731" s="44"/>
      <c r="G731" s="44"/>
      <c r="H731" s="44"/>
      <c r="I731" s="44"/>
      <c r="J731" s="76"/>
    </row>
    <row r="732" spans="2:10" ht="15">
      <c r="B732" s="76"/>
      <c r="C732" s="76"/>
      <c r="D732" s="44"/>
      <c r="E732" s="44"/>
      <c r="F732" s="44"/>
      <c r="G732" s="44"/>
      <c r="H732" s="44"/>
      <c r="I732" s="44"/>
      <c r="J732" s="76"/>
    </row>
    <row r="733" spans="2:10" ht="15">
      <c r="B733" s="76"/>
      <c r="C733" s="76"/>
      <c r="D733" s="44"/>
      <c r="E733" s="44"/>
      <c r="F733" s="44"/>
      <c r="G733" s="44"/>
      <c r="H733" s="44"/>
      <c r="I733" s="44"/>
      <c r="J733" s="76"/>
    </row>
    <row r="734" spans="2:10" ht="15">
      <c r="B734" s="76"/>
      <c r="C734" s="76"/>
      <c r="D734" s="44"/>
      <c r="E734" s="44"/>
      <c r="F734" s="44"/>
      <c r="G734" s="44"/>
      <c r="H734" s="44"/>
      <c r="I734" s="44"/>
      <c r="J734" s="76"/>
    </row>
    <row r="735" spans="2:10" ht="15">
      <c r="B735" s="76"/>
      <c r="C735" s="76"/>
      <c r="D735" s="44"/>
      <c r="E735" s="44"/>
      <c r="F735" s="44"/>
      <c r="G735" s="44"/>
      <c r="H735" s="44"/>
      <c r="I735" s="44"/>
      <c r="J735" s="76"/>
    </row>
    <row r="736" spans="2:10" ht="15">
      <c r="B736" s="76"/>
      <c r="C736" s="76"/>
      <c r="D736" s="44"/>
      <c r="E736" s="44"/>
      <c r="F736" s="44"/>
      <c r="G736" s="44"/>
      <c r="H736" s="44"/>
      <c r="I736" s="44"/>
      <c r="J736" s="76"/>
    </row>
    <row r="737" spans="2:10" ht="15">
      <c r="B737" s="76"/>
      <c r="C737" s="76"/>
      <c r="D737" s="44"/>
      <c r="E737" s="44"/>
      <c r="F737" s="44"/>
      <c r="G737" s="44"/>
      <c r="H737" s="44"/>
      <c r="I737" s="44"/>
      <c r="J737" s="76"/>
    </row>
    <row r="738" spans="2:10" ht="15">
      <c r="B738" s="76"/>
      <c r="C738" s="76"/>
      <c r="D738" s="44"/>
      <c r="E738" s="44"/>
      <c r="F738" s="44"/>
      <c r="G738" s="44"/>
      <c r="H738" s="44"/>
      <c r="I738" s="44"/>
      <c r="J738" s="76"/>
    </row>
    <row r="739" spans="2:10" ht="15">
      <c r="B739" s="76"/>
      <c r="C739" s="76"/>
      <c r="D739" s="44"/>
      <c r="E739" s="44"/>
      <c r="F739" s="44"/>
      <c r="G739" s="44"/>
      <c r="H739" s="44"/>
      <c r="I739" s="44"/>
      <c r="J739" s="76"/>
    </row>
    <row r="740" spans="2:10" ht="15">
      <c r="B740" s="76"/>
      <c r="C740" s="76"/>
      <c r="D740" s="44"/>
      <c r="E740" s="44"/>
      <c r="F740" s="44"/>
      <c r="G740" s="44"/>
      <c r="H740" s="44"/>
      <c r="I740" s="44"/>
      <c r="J740" s="76"/>
    </row>
    <row r="741" spans="2:10" ht="15">
      <c r="B741" s="76"/>
      <c r="C741" s="76"/>
      <c r="D741" s="44"/>
      <c r="E741" s="44"/>
      <c r="F741" s="44"/>
      <c r="G741" s="44"/>
      <c r="H741" s="44"/>
      <c r="I741" s="44"/>
      <c r="J741" s="76"/>
    </row>
    <row r="742" spans="2:10" ht="15">
      <c r="B742" s="76"/>
      <c r="C742" s="76"/>
      <c r="D742" s="44"/>
      <c r="E742" s="44"/>
      <c r="F742" s="44"/>
      <c r="G742" s="44"/>
      <c r="H742" s="44"/>
      <c r="I742" s="44"/>
      <c r="J742" s="76"/>
    </row>
    <row r="743" spans="2:10" ht="15">
      <c r="B743" s="76"/>
      <c r="C743" s="76"/>
      <c r="D743" s="44"/>
      <c r="E743" s="44"/>
      <c r="F743" s="44"/>
      <c r="G743" s="44"/>
      <c r="H743" s="44"/>
      <c r="I743" s="44"/>
      <c r="J743" s="76"/>
    </row>
    <row r="744" spans="2:10" ht="15">
      <c r="B744" s="76"/>
      <c r="C744" s="76"/>
      <c r="D744" s="44"/>
      <c r="E744" s="44"/>
      <c r="F744" s="44"/>
      <c r="G744" s="44"/>
      <c r="H744" s="44"/>
      <c r="I744" s="44"/>
      <c r="J744" s="76"/>
    </row>
    <row r="745" spans="2:10" ht="15">
      <c r="B745" s="76"/>
      <c r="C745" s="76"/>
      <c r="D745" s="44"/>
      <c r="E745" s="44"/>
      <c r="F745" s="44"/>
      <c r="G745" s="44"/>
      <c r="H745" s="44"/>
      <c r="I745" s="44"/>
      <c r="J745" s="76"/>
    </row>
    <row r="746" spans="2:10" ht="15">
      <c r="B746" s="76"/>
      <c r="C746" s="76"/>
      <c r="D746" s="44"/>
      <c r="E746" s="44"/>
      <c r="F746" s="44"/>
      <c r="G746" s="44"/>
      <c r="H746" s="44"/>
      <c r="I746" s="44"/>
      <c r="J746" s="76"/>
    </row>
    <row r="747" spans="2:10" ht="15">
      <c r="B747" s="76"/>
      <c r="C747" s="76"/>
      <c r="D747" s="44"/>
      <c r="E747" s="44"/>
      <c r="F747" s="44"/>
      <c r="G747" s="44"/>
      <c r="H747" s="44"/>
      <c r="I747" s="44"/>
      <c r="J747" s="76"/>
    </row>
    <row r="748" spans="2:10" ht="15">
      <c r="B748" s="76"/>
      <c r="C748" s="76"/>
      <c r="D748" s="44"/>
      <c r="E748" s="44"/>
      <c r="F748" s="44"/>
      <c r="G748" s="44"/>
      <c r="H748" s="44"/>
      <c r="I748" s="44"/>
      <c r="J748" s="76"/>
    </row>
    <row r="749" spans="2:10" ht="15">
      <c r="B749" s="76"/>
      <c r="C749" s="76"/>
      <c r="D749" s="44"/>
      <c r="E749" s="44"/>
      <c r="F749" s="44"/>
      <c r="G749" s="44"/>
      <c r="H749" s="44"/>
      <c r="I749" s="44"/>
      <c r="J749" s="76"/>
    </row>
    <row r="750" spans="2:10" ht="15">
      <c r="B750" s="76"/>
      <c r="C750" s="76"/>
      <c r="D750" s="44"/>
      <c r="E750" s="44"/>
      <c r="F750" s="44"/>
      <c r="G750" s="44"/>
      <c r="H750" s="44"/>
      <c r="I750" s="44"/>
      <c r="J750" s="76"/>
    </row>
    <row r="751" spans="2:10" ht="15">
      <c r="B751" s="76"/>
      <c r="C751" s="76"/>
      <c r="D751" s="44"/>
      <c r="E751" s="44"/>
      <c r="F751" s="44"/>
      <c r="G751" s="44"/>
      <c r="H751" s="44"/>
      <c r="I751" s="44"/>
      <c r="J751" s="76"/>
    </row>
    <row r="752" spans="2:10" ht="15">
      <c r="B752" s="76"/>
      <c r="C752" s="76"/>
      <c r="D752" s="44"/>
      <c r="E752" s="44"/>
      <c r="F752" s="44"/>
      <c r="G752" s="44"/>
      <c r="H752" s="44"/>
      <c r="I752" s="44"/>
      <c r="J752" s="76"/>
    </row>
    <row r="753" spans="2:10" ht="15">
      <c r="B753" s="76"/>
      <c r="C753" s="76"/>
      <c r="D753" s="44"/>
      <c r="E753" s="44"/>
      <c r="F753" s="44"/>
      <c r="G753" s="44"/>
      <c r="H753" s="44"/>
      <c r="I753" s="44"/>
      <c r="J753" s="76"/>
    </row>
    <row r="754" spans="2:10" ht="15">
      <c r="B754" s="76"/>
      <c r="C754" s="76"/>
      <c r="D754" s="44"/>
      <c r="E754" s="44"/>
      <c r="F754" s="44"/>
      <c r="G754" s="44"/>
      <c r="H754" s="44"/>
      <c r="I754" s="44"/>
      <c r="J754" s="76"/>
    </row>
    <row r="755" spans="2:10" ht="15">
      <c r="B755" s="76"/>
      <c r="C755" s="76"/>
      <c r="D755" s="44"/>
      <c r="E755" s="44"/>
      <c r="F755" s="44"/>
      <c r="G755" s="44"/>
      <c r="H755" s="44"/>
      <c r="I755" s="44"/>
      <c r="J755" s="76"/>
    </row>
    <row r="756" spans="2:10" ht="15">
      <c r="B756" s="76"/>
      <c r="C756" s="76"/>
      <c r="D756" s="44"/>
      <c r="E756" s="44"/>
      <c r="F756" s="44"/>
      <c r="G756" s="44"/>
      <c r="H756" s="44"/>
      <c r="I756" s="44"/>
      <c r="J756" s="76"/>
    </row>
    <row r="757" spans="2:10" ht="15">
      <c r="B757" s="76"/>
      <c r="C757" s="76"/>
      <c r="D757" s="44"/>
      <c r="E757" s="44"/>
      <c r="F757" s="44"/>
      <c r="G757" s="44"/>
      <c r="H757" s="44"/>
      <c r="I757" s="44"/>
      <c r="J757" s="76"/>
    </row>
    <row r="758" spans="2:10" ht="15">
      <c r="B758" s="76"/>
      <c r="C758" s="76"/>
      <c r="D758" s="44"/>
      <c r="E758" s="44"/>
      <c r="F758" s="44"/>
      <c r="G758" s="44"/>
      <c r="H758" s="44"/>
      <c r="I758" s="44"/>
      <c r="J758" s="76"/>
    </row>
    <row r="759" spans="2:10" ht="15">
      <c r="B759" s="76"/>
      <c r="C759" s="76"/>
      <c r="D759" s="44"/>
      <c r="E759" s="44"/>
      <c r="F759" s="44"/>
      <c r="G759" s="44"/>
      <c r="H759" s="44"/>
      <c r="I759" s="44"/>
      <c r="J759" s="76"/>
    </row>
    <row r="760" spans="2:10" ht="15">
      <c r="B760" s="76"/>
      <c r="C760" s="76"/>
      <c r="D760" s="44"/>
      <c r="E760" s="44"/>
      <c r="F760" s="44"/>
      <c r="G760" s="44"/>
      <c r="H760" s="44"/>
      <c r="I760" s="44"/>
      <c r="J760" s="76"/>
    </row>
    <row r="761" spans="2:10" ht="15">
      <c r="B761" s="76"/>
      <c r="C761" s="76"/>
      <c r="D761" s="44"/>
      <c r="E761" s="44"/>
      <c r="F761" s="44"/>
      <c r="G761" s="44"/>
      <c r="H761" s="44"/>
      <c r="I761" s="44"/>
      <c r="J761" s="76"/>
    </row>
    <row r="762" spans="2:10" ht="15">
      <c r="B762" s="76"/>
      <c r="C762" s="76"/>
      <c r="D762" s="44"/>
      <c r="E762" s="44"/>
      <c r="F762" s="44"/>
      <c r="G762" s="44"/>
      <c r="H762" s="44"/>
      <c r="I762" s="44"/>
      <c r="J762" s="76"/>
    </row>
    <row r="763" spans="2:10" ht="15">
      <c r="B763" s="76"/>
      <c r="C763" s="76"/>
      <c r="D763" s="44"/>
      <c r="E763" s="44"/>
      <c r="F763" s="44"/>
      <c r="G763" s="44"/>
      <c r="H763" s="44"/>
      <c r="I763" s="44"/>
      <c r="J763" s="76"/>
    </row>
    <row r="764" spans="2:10" ht="15">
      <c r="B764" s="76"/>
      <c r="C764" s="76"/>
      <c r="D764" s="44"/>
      <c r="E764" s="44"/>
      <c r="F764" s="44"/>
      <c r="G764" s="44"/>
      <c r="H764" s="44"/>
      <c r="I764" s="44"/>
      <c r="J764" s="76"/>
    </row>
    <row r="765" spans="2:10" ht="15">
      <c r="B765" s="76"/>
      <c r="C765" s="76"/>
      <c r="D765" s="44"/>
      <c r="E765" s="44"/>
      <c r="F765" s="44"/>
      <c r="G765" s="44"/>
      <c r="H765" s="44"/>
      <c r="I765" s="44"/>
      <c r="J765" s="76"/>
    </row>
    <row r="766" spans="2:10" ht="15">
      <c r="B766" s="76"/>
      <c r="C766" s="76"/>
      <c r="D766" s="44"/>
      <c r="E766" s="44"/>
      <c r="F766" s="44"/>
      <c r="G766" s="44"/>
      <c r="H766" s="44"/>
      <c r="I766" s="44"/>
      <c r="J766" s="76"/>
    </row>
    <row r="767" spans="2:10" ht="15">
      <c r="B767" s="76"/>
      <c r="C767" s="76"/>
      <c r="D767" s="44"/>
      <c r="E767" s="44"/>
      <c r="F767" s="44"/>
      <c r="G767" s="44"/>
      <c r="H767" s="44"/>
      <c r="I767" s="44"/>
      <c r="J767" s="76"/>
    </row>
    <row r="768" spans="2:10" ht="15">
      <c r="B768" s="76"/>
      <c r="C768" s="76"/>
      <c r="D768" s="44"/>
      <c r="E768" s="44"/>
      <c r="F768" s="44"/>
      <c r="G768" s="44"/>
      <c r="H768" s="44"/>
      <c r="I768" s="44"/>
      <c r="J768" s="76"/>
    </row>
    <row r="769" spans="2:10" ht="15">
      <c r="B769" s="76"/>
      <c r="C769" s="76"/>
      <c r="D769" s="44"/>
      <c r="E769" s="44"/>
      <c r="F769" s="44"/>
      <c r="G769" s="44"/>
      <c r="H769" s="44"/>
      <c r="I769" s="44"/>
      <c r="J769" s="76"/>
    </row>
    <row r="770" spans="2:10" ht="15">
      <c r="B770" s="76"/>
      <c r="C770" s="76"/>
      <c r="D770" s="44"/>
      <c r="E770" s="44"/>
      <c r="F770" s="44"/>
      <c r="G770" s="44"/>
      <c r="H770" s="44"/>
      <c r="I770" s="44"/>
      <c r="J770" s="76"/>
    </row>
    <row r="771" spans="2:10" ht="15">
      <c r="B771" s="76"/>
      <c r="C771" s="76"/>
      <c r="D771" s="44"/>
      <c r="E771" s="44"/>
      <c r="F771" s="44"/>
      <c r="G771" s="44"/>
      <c r="H771" s="44"/>
      <c r="I771" s="44"/>
      <c r="J771" s="76"/>
    </row>
    <row r="772" spans="2:10" ht="15">
      <c r="B772" s="76"/>
      <c r="C772" s="76"/>
      <c r="D772" s="44"/>
      <c r="E772" s="44"/>
      <c r="F772" s="44"/>
      <c r="G772" s="44"/>
      <c r="H772" s="44"/>
      <c r="I772" s="44"/>
      <c r="J772" s="76"/>
    </row>
    <row r="773" spans="2:10" ht="15">
      <c r="B773" s="76"/>
      <c r="C773" s="76"/>
      <c r="D773" s="44"/>
      <c r="E773" s="44"/>
      <c r="F773" s="44"/>
      <c r="G773" s="44"/>
      <c r="H773" s="44"/>
      <c r="I773" s="44"/>
      <c r="J773" s="76"/>
    </row>
    <row r="774" spans="2:10" ht="15">
      <c r="B774" s="76"/>
      <c r="C774" s="76"/>
      <c r="D774" s="44"/>
      <c r="E774" s="44"/>
      <c r="F774" s="44"/>
      <c r="G774" s="44"/>
      <c r="H774" s="44"/>
      <c r="I774" s="44"/>
      <c r="J774" s="76"/>
    </row>
    <row r="775" spans="2:10" ht="15">
      <c r="B775" s="76"/>
      <c r="C775" s="76"/>
      <c r="D775" s="44"/>
      <c r="E775" s="44"/>
      <c r="F775" s="44"/>
      <c r="G775" s="44"/>
      <c r="H775" s="44"/>
      <c r="I775" s="44"/>
      <c r="J775" s="76"/>
    </row>
    <row r="776" spans="2:10" ht="15">
      <c r="B776" s="76"/>
      <c r="C776" s="76"/>
      <c r="D776" s="44"/>
      <c r="E776" s="44"/>
      <c r="F776" s="44"/>
      <c r="G776" s="44"/>
      <c r="H776" s="44"/>
      <c r="I776" s="44"/>
      <c r="J776" s="76"/>
    </row>
    <row r="777" spans="2:10" ht="15">
      <c r="B777" s="76"/>
      <c r="C777" s="76"/>
      <c r="D777" s="44"/>
      <c r="E777" s="44"/>
      <c r="F777" s="44"/>
      <c r="G777" s="44"/>
      <c r="H777" s="44"/>
      <c r="I777" s="44"/>
      <c r="J777" s="76"/>
    </row>
    <row r="778" spans="2:10" ht="15">
      <c r="B778" s="76"/>
      <c r="C778" s="76"/>
      <c r="D778" s="44"/>
      <c r="E778" s="44"/>
      <c r="F778" s="44"/>
      <c r="G778" s="44"/>
      <c r="H778" s="44"/>
      <c r="I778" s="44"/>
      <c r="J778" s="76"/>
    </row>
    <row r="779" spans="2:10" ht="15">
      <c r="B779" s="76"/>
      <c r="C779" s="76"/>
      <c r="D779" s="44"/>
      <c r="E779" s="44"/>
      <c r="F779" s="44"/>
      <c r="G779" s="44"/>
      <c r="H779" s="44"/>
      <c r="I779" s="44"/>
      <c r="J779" s="76"/>
    </row>
    <row r="780" spans="2:10" ht="15">
      <c r="B780" s="76"/>
      <c r="C780" s="76"/>
      <c r="D780" s="44"/>
      <c r="E780" s="44"/>
      <c r="F780" s="44"/>
      <c r="G780" s="44"/>
      <c r="H780" s="44"/>
      <c r="I780" s="44"/>
      <c r="J780" s="76"/>
    </row>
    <row r="781" spans="2:10" ht="15">
      <c r="B781" s="76"/>
      <c r="C781" s="76"/>
      <c r="D781" s="44"/>
      <c r="E781" s="44"/>
      <c r="F781" s="44"/>
      <c r="G781" s="44"/>
      <c r="H781" s="44"/>
      <c r="I781" s="44"/>
      <c r="J781" s="76"/>
    </row>
    <row r="782" spans="2:10" ht="15">
      <c r="B782" s="76"/>
      <c r="C782" s="76"/>
      <c r="D782" s="44"/>
      <c r="E782" s="44"/>
      <c r="F782" s="44"/>
      <c r="G782" s="44"/>
      <c r="H782" s="44"/>
      <c r="I782" s="44"/>
      <c r="J782" s="76"/>
    </row>
    <row r="783" spans="2:10" ht="15">
      <c r="B783" s="76"/>
      <c r="C783" s="76"/>
      <c r="D783" s="44"/>
      <c r="E783" s="44"/>
      <c r="F783" s="44"/>
      <c r="G783" s="44"/>
      <c r="H783" s="44"/>
      <c r="I783" s="44"/>
      <c r="J783" s="76"/>
    </row>
    <row r="784" spans="2:10" ht="15">
      <c r="B784" s="76"/>
      <c r="C784" s="76"/>
      <c r="D784" s="44"/>
      <c r="E784" s="44"/>
      <c r="F784" s="44"/>
      <c r="G784" s="44"/>
      <c r="H784" s="44"/>
      <c r="I784" s="44"/>
      <c r="J784" s="76"/>
    </row>
    <row r="785" spans="2:10" ht="15">
      <c r="B785" s="76"/>
      <c r="C785" s="76"/>
      <c r="D785" s="44"/>
      <c r="E785" s="44"/>
      <c r="F785" s="44"/>
      <c r="G785" s="44"/>
      <c r="H785" s="44"/>
      <c r="I785" s="44"/>
      <c r="J785" s="76"/>
    </row>
    <row r="786" spans="2:10" ht="15">
      <c r="B786" s="76"/>
      <c r="C786" s="76"/>
      <c r="D786" s="44"/>
      <c r="E786" s="44"/>
      <c r="F786" s="44"/>
      <c r="G786" s="44"/>
      <c r="H786" s="44"/>
      <c r="I786" s="44"/>
      <c r="J786" s="76"/>
    </row>
    <row r="787" spans="2:10" ht="15">
      <c r="B787" s="76"/>
      <c r="C787" s="76"/>
      <c r="D787" s="44"/>
      <c r="E787" s="44"/>
      <c r="F787" s="44"/>
      <c r="G787" s="44"/>
      <c r="H787" s="44"/>
      <c r="I787" s="44"/>
      <c r="J787" s="76"/>
    </row>
    <row r="788" spans="2:10" ht="15">
      <c r="B788" s="76"/>
      <c r="C788" s="76"/>
      <c r="D788" s="44"/>
      <c r="E788" s="44"/>
      <c r="F788" s="44"/>
      <c r="G788" s="44"/>
      <c r="H788" s="44"/>
      <c r="I788" s="44"/>
      <c r="J788" s="76"/>
    </row>
    <row r="789" spans="2:10" ht="15">
      <c r="B789" s="76"/>
      <c r="C789" s="76"/>
      <c r="D789" s="44"/>
      <c r="E789" s="44"/>
      <c r="F789" s="44"/>
      <c r="G789" s="44"/>
      <c r="H789" s="44"/>
      <c r="I789" s="44"/>
      <c r="J789" s="76"/>
    </row>
    <row r="790" spans="2:10" ht="15">
      <c r="B790" s="76"/>
      <c r="C790" s="76"/>
      <c r="D790" s="44"/>
      <c r="E790" s="44"/>
      <c r="F790" s="44"/>
      <c r="G790" s="44"/>
      <c r="H790" s="44"/>
      <c r="I790" s="44"/>
      <c r="J790" s="76"/>
    </row>
    <row r="791" spans="2:10" ht="15">
      <c r="B791" s="76"/>
      <c r="C791" s="76"/>
      <c r="D791" s="44"/>
      <c r="E791" s="44"/>
      <c r="F791" s="44"/>
      <c r="G791" s="44"/>
      <c r="H791" s="44"/>
      <c r="I791" s="44"/>
      <c r="J791" s="76"/>
    </row>
    <row r="792" spans="2:10" ht="15">
      <c r="B792" s="76"/>
      <c r="C792" s="76"/>
      <c r="D792" s="44"/>
      <c r="E792" s="44"/>
      <c r="F792" s="44"/>
      <c r="G792" s="44"/>
      <c r="H792" s="44"/>
      <c r="I792" s="44"/>
      <c r="J792" s="76"/>
    </row>
    <row r="793" spans="2:10" ht="15">
      <c r="B793" s="76"/>
      <c r="C793" s="76"/>
      <c r="D793" s="44"/>
      <c r="E793" s="44"/>
      <c r="F793" s="44"/>
      <c r="G793" s="44"/>
      <c r="H793" s="44"/>
      <c r="I793" s="44"/>
      <c r="J793" s="76"/>
    </row>
    <row r="794" spans="2:10" ht="15">
      <c r="B794" s="76"/>
      <c r="C794" s="76"/>
      <c r="D794" s="44"/>
      <c r="E794" s="44"/>
      <c r="F794" s="44"/>
      <c r="G794" s="44"/>
      <c r="H794" s="44"/>
      <c r="I794" s="44"/>
      <c r="J794" s="76"/>
    </row>
    <row r="795" spans="2:10" ht="15">
      <c r="B795" s="76"/>
      <c r="C795" s="76"/>
      <c r="D795" s="44"/>
      <c r="E795" s="44"/>
      <c r="F795" s="44"/>
      <c r="G795" s="44"/>
      <c r="H795" s="44"/>
      <c r="I795" s="44"/>
      <c r="J795" s="76"/>
    </row>
    <row r="796" spans="2:10" ht="15">
      <c r="B796" s="76"/>
      <c r="C796" s="76"/>
      <c r="D796" s="44"/>
      <c r="E796" s="44"/>
      <c r="F796" s="44"/>
      <c r="G796" s="44"/>
      <c r="H796" s="44"/>
      <c r="I796" s="44"/>
      <c r="J796" s="76"/>
    </row>
    <row r="797" spans="2:10" ht="15">
      <c r="B797" s="76"/>
      <c r="C797" s="76"/>
      <c r="D797" s="44"/>
      <c r="E797" s="44"/>
      <c r="F797" s="44"/>
      <c r="G797" s="44"/>
      <c r="H797" s="44"/>
      <c r="I797" s="44"/>
      <c r="J797" s="76"/>
    </row>
    <row r="798" spans="2:10" ht="15">
      <c r="B798" s="76"/>
      <c r="C798" s="76"/>
      <c r="D798" s="44"/>
      <c r="E798" s="44"/>
      <c r="F798" s="44"/>
      <c r="G798" s="44"/>
      <c r="H798" s="44"/>
      <c r="I798" s="44"/>
      <c r="J798" s="76"/>
    </row>
    <row r="799" spans="2:10" ht="15">
      <c r="B799" s="76"/>
      <c r="C799" s="76"/>
      <c r="D799" s="44"/>
      <c r="E799" s="44"/>
      <c r="F799" s="44"/>
      <c r="G799" s="44"/>
      <c r="H799" s="44"/>
      <c r="I799" s="44"/>
      <c r="J799" s="76"/>
    </row>
    <row r="800" spans="2:10" ht="15">
      <c r="B800" s="76"/>
      <c r="C800" s="76"/>
      <c r="D800" s="44"/>
      <c r="E800" s="44"/>
      <c r="F800" s="44"/>
      <c r="G800" s="44"/>
      <c r="H800" s="44"/>
      <c r="I800" s="44"/>
      <c r="J800" s="76"/>
    </row>
    <row r="801" spans="2:10" ht="15">
      <c r="B801" s="76"/>
      <c r="C801" s="76"/>
      <c r="D801" s="44"/>
      <c r="E801" s="44"/>
      <c r="F801" s="44"/>
      <c r="G801" s="44"/>
      <c r="H801" s="44"/>
      <c r="I801" s="44"/>
      <c r="J801" s="76"/>
    </row>
    <row r="802" spans="2:10" ht="15">
      <c r="B802" s="76"/>
      <c r="C802" s="76"/>
      <c r="D802" s="44"/>
      <c r="E802" s="44"/>
      <c r="F802" s="44"/>
      <c r="G802" s="44"/>
      <c r="H802" s="44"/>
      <c r="I802" s="44"/>
      <c r="J802" s="76"/>
    </row>
    <row r="803" spans="2:10" ht="15">
      <c r="B803" s="76"/>
      <c r="C803" s="76"/>
      <c r="D803" s="44"/>
      <c r="E803" s="44"/>
      <c r="F803" s="44"/>
      <c r="G803" s="44"/>
      <c r="H803" s="44"/>
      <c r="I803" s="44"/>
      <c r="J803" s="76"/>
    </row>
    <row r="804" spans="2:10" ht="15">
      <c r="B804" s="76"/>
      <c r="C804" s="76"/>
      <c r="D804" s="44"/>
      <c r="E804" s="44"/>
      <c r="F804" s="44"/>
      <c r="G804" s="44"/>
      <c r="H804" s="44"/>
      <c r="I804" s="44"/>
      <c r="J804" s="76"/>
    </row>
    <row r="805" spans="2:10" ht="15">
      <c r="B805" s="76"/>
      <c r="C805" s="76"/>
      <c r="D805" s="44"/>
      <c r="E805" s="44"/>
      <c r="F805" s="44"/>
      <c r="G805" s="44"/>
      <c r="H805" s="44"/>
      <c r="I805" s="44"/>
      <c r="J805" s="76"/>
    </row>
    <row r="806" spans="2:10" ht="15">
      <c r="B806" s="76"/>
      <c r="C806" s="76"/>
      <c r="D806" s="44"/>
      <c r="E806" s="44"/>
      <c r="F806" s="44"/>
      <c r="G806" s="44"/>
      <c r="H806" s="44"/>
      <c r="I806" s="44"/>
      <c r="J806" s="76"/>
    </row>
    <row r="807" spans="2:10" ht="15">
      <c r="B807" s="76"/>
      <c r="C807" s="76"/>
      <c r="D807" s="44"/>
      <c r="E807" s="44"/>
      <c r="F807" s="44"/>
      <c r="G807" s="44"/>
      <c r="H807" s="44"/>
      <c r="I807" s="44"/>
      <c r="J807" s="76"/>
    </row>
    <row r="808" spans="2:10" ht="15">
      <c r="B808" s="76"/>
      <c r="C808" s="76"/>
      <c r="D808" s="44"/>
      <c r="E808" s="44"/>
      <c r="F808" s="44"/>
      <c r="G808" s="44"/>
      <c r="H808" s="44"/>
      <c r="I808" s="44"/>
      <c r="J808" s="76"/>
    </row>
    <row r="809" spans="2:10" ht="15">
      <c r="B809" s="76"/>
      <c r="C809" s="76"/>
      <c r="D809" s="44"/>
      <c r="E809" s="44"/>
      <c r="F809" s="44"/>
      <c r="G809" s="44"/>
      <c r="H809" s="44"/>
      <c r="I809" s="44"/>
      <c r="J809" s="76"/>
    </row>
    <row r="810" spans="2:10" ht="15">
      <c r="B810" s="76"/>
      <c r="C810" s="76"/>
      <c r="D810" s="44"/>
      <c r="E810" s="44"/>
      <c r="F810" s="44"/>
      <c r="G810" s="44"/>
      <c r="H810" s="44"/>
      <c r="I810" s="44"/>
      <c r="J810" s="76"/>
    </row>
    <row r="811" spans="2:10" ht="15">
      <c r="B811" s="76"/>
      <c r="C811" s="76"/>
      <c r="D811" s="44"/>
      <c r="E811" s="44"/>
      <c r="F811" s="44"/>
      <c r="G811" s="44"/>
      <c r="H811" s="44"/>
      <c r="I811" s="44"/>
      <c r="J811" s="76"/>
    </row>
    <row r="812" spans="2:10" ht="15">
      <c r="B812" s="76"/>
      <c r="C812" s="76"/>
      <c r="D812" s="44"/>
      <c r="E812" s="44"/>
      <c r="F812" s="44"/>
      <c r="G812" s="44"/>
      <c r="H812" s="44"/>
      <c r="I812" s="44"/>
      <c r="J812" s="76"/>
    </row>
    <row r="813" spans="2:10" ht="15">
      <c r="B813" s="76"/>
      <c r="C813" s="76"/>
      <c r="D813" s="44"/>
      <c r="E813" s="44"/>
      <c r="F813" s="44"/>
      <c r="G813" s="44"/>
      <c r="H813" s="44"/>
      <c r="I813" s="44"/>
      <c r="J813" s="76"/>
    </row>
    <row r="814" spans="2:10" ht="15">
      <c r="B814" s="76"/>
      <c r="C814" s="76"/>
      <c r="D814" s="44"/>
      <c r="E814" s="44"/>
      <c r="F814" s="44"/>
      <c r="G814" s="44"/>
      <c r="H814" s="44"/>
      <c r="I814" s="44"/>
      <c r="J814" s="76"/>
    </row>
    <row r="815" spans="2:10" ht="15">
      <c r="B815" s="76"/>
      <c r="C815" s="76"/>
      <c r="D815" s="44"/>
      <c r="E815" s="44"/>
      <c r="F815" s="44"/>
      <c r="G815" s="44"/>
      <c r="H815" s="44"/>
      <c r="I815" s="44"/>
      <c r="J815" s="76"/>
    </row>
    <row r="816" spans="2:10" ht="15">
      <c r="B816" s="76"/>
      <c r="C816" s="76"/>
      <c r="D816" s="44"/>
      <c r="E816" s="44"/>
      <c r="F816" s="44"/>
      <c r="G816" s="44"/>
      <c r="H816" s="44"/>
      <c r="I816" s="44"/>
      <c r="J816" s="76"/>
    </row>
    <row r="817" spans="2:10" ht="15">
      <c r="B817" s="76"/>
      <c r="C817" s="76"/>
      <c r="D817" s="44"/>
      <c r="E817" s="44"/>
      <c r="F817" s="44"/>
      <c r="G817" s="44"/>
      <c r="H817" s="44"/>
      <c r="I817" s="44"/>
      <c r="J817" s="76"/>
    </row>
    <row r="818" spans="2:10" ht="15">
      <c r="B818" s="76"/>
      <c r="C818" s="76"/>
      <c r="D818" s="44"/>
      <c r="E818" s="44"/>
      <c r="F818" s="44"/>
      <c r="G818" s="44"/>
      <c r="H818" s="44"/>
      <c r="I818" s="44"/>
      <c r="J818" s="76"/>
    </row>
    <row r="819" spans="2:10" ht="15">
      <c r="B819" s="76"/>
      <c r="C819" s="76"/>
      <c r="D819" s="44"/>
      <c r="E819" s="44"/>
      <c r="F819" s="44"/>
      <c r="G819" s="44"/>
      <c r="H819" s="44"/>
      <c r="I819" s="44"/>
      <c r="J819" s="76"/>
    </row>
    <row r="820" spans="2:10" ht="15">
      <c r="B820" s="76"/>
      <c r="C820" s="76"/>
      <c r="D820" s="44"/>
      <c r="E820" s="44"/>
      <c r="F820" s="44"/>
      <c r="G820" s="44"/>
      <c r="H820" s="44"/>
      <c r="I820" s="44"/>
      <c r="J820" s="76"/>
    </row>
    <row r="821" spans="2:10" ht="15">
      <c r="B821" s="76"/>
      <c r="C821" s="76"/>
      <c r="D821" s="44"/>
      <c r="E821" s="44"/>
      <c r="F821" s="44"/>
      <c r="G821" s="44"/>
      <c r="H821" s="44"/>
      <c r="I821" s="44"/>
      <c r="J821" s="76"/>
    </row>
    <row r="822" spans="2:10" ht="15">
      <c r="B822" s="76"/>
      <c r="C822" s="76"/>
      <c r="D822" s="44"/>
      <c r="E822" s="44"/>
      <c r="F822" s="44"/>
      <c r="G822" s="44"/>
      <c r="H822" s="44"/>
      <c r="I822" s="44"/>
      <c r="J822" s="76"/>
    </row>
    <row r="823" spans="2:10" ht="15">
      <c r="B823" s="76"/>
      <c r="C823" s="76"/>
      <c r="D823" s="44"/>
      <c r="E823" s="44"/>
      <c r="F823" s="44"/>
      <c r="G823" s="44"/>
      <c r="H823" s="44"/>
      <c r="I823" s="44"/>
      <c r="J823" s="76"/>
    </row>
    <row r="824" spans="2:10" ht="15">
      <c r="B824" s="76"/>
      <c r="C824" s="76"/>
      <c r="D824" s="44"/>
      <c r="E824" s="44"/>
      <c r="F824" s="44"/>
      <c r="G824" s="44"/>
      <c r="H824" s="44"/>
      <c r="I824" s="44"/>
      <c r="J824" s="76"/>
    </row>
    <row r="825" spans="2:10" ht="15">
      <c r="B825" s="76"/>
      <c r="C825" s="76"/>
      <c r="D825" s="44"/>
      <c r="E825" s="44"/>
      <c r="F825" s="44"/>
      <c r="G825" s="44"/>
      <c r="H825" s="44"/>
      <c r="I825" s="44"/>
      <c r="J825" s="76"/>
    </row>
    <row r="826" spans="2:10" ht="15">
      <c r="B826" s="76"/>
      <c r="C826" s="76"/>
      <c r="D826" s="44"/>
      <c r="E826" s="44"/>
      <c r="F826" s="44"/>
      <c r="G826" s="44"/>
      <c r="H826" s="44"/>
      <c r="I826" s="44"/>
      <c r="J826" s="76"/>
    </row>
    <row r="827" spans="2:10" ht="15">
      <c r="B827" s="76"/>
      <c r="C827" s="76"/>
      <c r="D827" s="44"/>
      <c r="E827" s="44"/>
      <c r="F827" s="44"/>
      <c r="G827" s="44"/>
      <c r="H827" s="44"/>
      <c r="I827" s="44"/>
      <c r="J827" s="76"/>
    </row>
    <row r="828" spans="2:10" ht="15">
      <c r="B828" s="76"/>
      <c r="C828" s="76"/>
      <c r="D828" s="44"/>
      <c r="E828" s="44"/>
      <c r="F828" s="44"/>
      <c r="G828" s="44"/>
      <c r="H828" s="44"/>
      <c r="I828" s="44"/>
      <c r="J828" s="76"/>
    </row>
    <row r="829" spans="2:10" ht="15">
      <c r="B829" s="76"/>
      <c r="C829" s="76"/>
      <c r="D829" s="44"/>
      <c r="E829" s="44"/>
      <c r="F829" s="44"/>
      <c r="G829" s="44"/>
      <c r="H829" s="44"/>
      <c r="I829" s="44"/>
      <c r="J829" s="76"/>
    </row>
    <row r="830" spans="2:10" ht="15">
      <c r="B830" s="76"/>
      <c r="C830" s="76"/>
      <c r="D830" s="44"/>
      <c r="E830" s="44"/>
      <c r="F830" s="44"/>
      <c r="G830" s="44"/>
      <c r="H830" s="44"/>
      <c r="I830" s="44"/>
      <c r="J830" s="76"/>
    </row>
    <row r="831" spans="2:10" ht="15">
      <c r="B831" s="76"/>
      <c r="C831" s="76"/>
      <c r="D831" s="44"/>
      <c r="E831" s="44"/>
      <c r="F831" s="44"/>
      <c r="G831" s="44"/>
      <c r="H831" s="44"/>
      <c r="I831" s="44"/>
      <c r="J831" s="76"/>
    </row>
    <row r="832" spans="2:10" ht="15">
      <c r="B832" s="76"/>
      <c r="C832" s="76"/>
      <c r="D832" s="44"/>
      <c r="E832" s="44"/>
      <c r="F832" s="44"/>
      <c r="G832" s="44"/>
      <c r="H832" s="44"/>
      <c r="I832" s="44"/>
      <c r="J832" s="76"/>
    </row>
    <row r="833" spans="2:10" ht="15">
      <c r="B833" s="76"/>
      <c r="C833" s="76"/>
      <c r="D833" s="44"/>
      <c r="E833" s="44"/>
      <c r="F833" s="44"/>
      <c r="G833" s="44"/>
      <c r="H833" s="44"/>
      <c r="I833" s="44"/>
      <c r="J833" s="76"/>
    </row>
    <row r="834" spans="2:10" ht="15">
      <c r="B834" s="76"/>
      <c r="C834" s="76"/>
      <c r="D834" s="44"/>
      <c r="E834" s="44"/>
      <c r="F834" s="44"/>
      <c r="G834" s="44"/>
      <c r="H834" s="44"/>
      <c r="I834" s="44"/>
      <c r="J834" s="76"/>
    </row>
    <row r="835" spans="2:10" ht="15">
      <c r="B835" s="76"/>
      <c r="C835" s="76"/>
      <c r="D835" s="44"/>
      <c r="E835" s="44"/>
      <c r="F835" s="44"/>
      <c r="G835" s="44"/>
      <c r="H835" s="44"/>
      <c r="I835" s="44"/>
      <c r="J835" s="76"/>
    </row>
    <row r="836" spans="2:10" ht="15">
      <c r="B836" s="76"/>
      <c r="C836" s="76"/>
      <c r="D836" s="44"/>
      <c r="E836" s="44"/>
      <c r="F836" s="44"/>
      <c r="G836" s="44"/>
      <c r="H836" s="44"/>
      <c r="I836" s="44"/>
      <c r="J836" s="76"/>
    </row>
    <row r="837" spans="2:10" ht="15">
      <c r="B837" s="76"/>
      <c r="C837" s="76"/>
      <c r="D837" s="44"/>
      <c r="E837" s="44"/>
      <c r="F837" s="44"/>
      <c r="G837" s="44"/>
      <c r="H837" s="44"/>
      <c r="I837" s="44"/>
      <c r="J837" s="76"/>
    </row>
    <row r="838" spans="2:10" ht="15">
      <c r="B838" s="76"/>
      <c r="C838" s="76"/>
      <c r="D838" s="44"/>
      <c r="E838" s="44"/>
      <c r="F838" s="44"/>
      <c r="G838" s="44"/>
      <c r="H838" s="44"/>
      <c r="I838" s="44"/>
      <c r="J838" s="76"/>
    </row>
    <row r="839" spans="2:10" ht="15">
      <c r="B839" s="76"/>
      <c r="C839" s="76"/>
      <c r="D839" s="44"/>
      <c r="E839" s="44"/>
      <c r="F839" s="44"/>
      <c r="G839" s="44"/>
      <c r="H839" s="44"/>
      <c r="I839" s="44"/>
      <c r="J839" s="76"/>
    </row>
    <row r="840" spans="2:10" ht="15">
      <c r="B840" s="76"/>
      <c r="C840" s="76"/>
      <c r="D840" s="44"/>
      <c r="E840" s="44"/>
      <c r="F840" s="44"/>
      <c r="G840" s="44"/>
      <c r="H840" s="44"/>
      <c r="I840" s="44"/>
      <c r="J840" s="76"/>
    </row>
    <row r="841" spans="2:10" ht="15">
      <c r="B841" s="76"/>
      <c r="C841" s="76"/>
      <c r="D841" s="44"/>
      <c r="E841" s="44"/>
      <c r="F841" s="44"/>
      <c r="G841" s="44"/>
      <c r="H841" s="44"/>
      <c r="I841" s="44"/>
      <c r="J841" s="76"/>
    </row>
    <row r="842" spans="2:10" ht="15">
      <c r="B842" s="76"/>
      <c r="C842" s="76"/>
      <c r="D842" s="44"/>
      <c r="E842" s="44"/>
      <c r="F842" s="44"/>
      <c r="G842" s="44"/>
      <c r="H842" s="44"/>
      <c r="I842" s="44"/>
      <c r="J842" s="76"/>
    </row>
    <row r="843" spans="2:10" ht="15">
      <c r="B843" s="76"/>
      <c r="C843" s="76"/>
      <c r="D843" s="44"/>
      <c r="E843" s="44"/>
      <c r="F843" s="44"/>
      <c r="G843" s="44"/>
      <c r="H843" s="44"/>
      <c r="I843" s="44"/>
      <c r="J843" s="76"/>
    </row>
    <row r="844" spans="2:10" ht="15">
      <c r="B844" s="76"/>
      <c r="C844" s="76"/>
      <c r="D844" s="44"/>
      <c r="E844" s="44"/>
      <c r="F844" s="44"/>
      <c r="G844" s="44"/>
      <c r="H844" s="44"/>
      <c r="I844" s="44"/>
      <c r="J844" s="76"/>
    </row>
    <row r="845" spans="2:10" ht="15">
      <c r="B845" s="76"/>
      <c r="C845" s="76"/>
      <c r="D845" s="44"/>
      <c r="E845" s="44"/>
      <c r="F845" s="44"/>
      <c r="G845" s="44"/>
      <c r="H845" s="44"/>
      <c r="I845" s="44"/>
      <c r="J845" s="76"/>
    </row>
    <row r="846" spans="2:10" ht="15">
      <c r="B846" s="76"/>
      <c r="C846" s="76"/>
      <c r="D846" s="44"/>
      <c r="E846" s="44"/>
      <c r="F846" s="44"/>
      <c r="G846" s="44"/>
      <c r="H846" s="44"/>
      <c r="I846" s="44"/>
      <c r="J846" s="76"/>
    </row>
    <row r="847" spans="2:10" ht="15">
      <c r="B847" s="76"/>
      <c r="C847" s="76"/>
      <c r="D847" s="44"/>
      <c r="E847" s="44"/>
      <c r="F847" s="44"/>
      <c r="G847" s="44"/>
      <c r="H847" s="44"/>
      <c r="I847" s="44"/>
      <c r="J847" s="76"/>
    </row>
    <row r="848" spans="2:10" ht="15">
      <c r="B848" s="76"/>
      <c r="C848" s="76"/>
      <c r="D848" s="44"/>
      <c r="E848" s="44"/>
      <c r="F848" s="44"/>
      <c r="G848" s="44"/>
      <c r="H848" s="44"/>
      <c r="I848" s="44"/>
      <c r="J848" s="76"/>
    </row>
    <row r="849" spans="2:10" ht="15">
      <c r="B849" s="76"/>
      <c r="C849" s="76"/>
      <c r="D849" s="44"/>
      <c r="E849" s="44"/>
      <c r="F849" s="44"/>
      <c r="G849" s="44"/>
      <c r="H849" s="44"/>
      <c r="I849" s="44"/>
      <c r="J849" s="76"/>
    </row>
    <row r="850" spans="2:10" ht="15">
      <c r="B850" s="76"/>
      <c r="C850" s="76"/>
      <c r="D850" s="44"/>
      <c r="E850" s="44"/>
      <c r="F850" s="44"/>
      <c r="G850" s="44"/>
      <c r="H850" s="44"/>
      <c r="I850" s="44"/>
      <c r="J850" s="76"/>
    </row>
    <row r="851" spans="2:10" ht="15">
      <c r="B851" s="76"/>
      <c r="C851" s="76"/>
      <c r="D851" s="44"/>
      <c r="E851" s="44"/>
      <c r="F851" s="44"/>
      <c r="G851" s="44"/>
      <c r="H851" s="44"/>
      <c r="I851" s="44"/>
      <c r="J851" s="76"/>
    </row>
    <row r="852" spans="2:10" ht="15">
      <c r="B852" s="76"/>
      <c r="C852" s="76"/>
      <c r="D852" s="44"/>
      <c r="E852" s="44"/>
      <c r="F852" s="44"/>
      <c r="G852" s="44"/>
      <c r="H852" s="44"/>
      <c r="I852" s="44"/>
      <c r="J852" s="76"/>
    </row>
    <row r="853" spans="2:10" ht="15">
      <c r="B853" s="76"/>
      <c r="C853" s="76"/>
      <c r="D853" s="44"/>
      <c r="E853" s="44"/>
      <c r="F853" s="44"/>
      <c r="G853" s="44"/>
      <c r="H853" s="44"/>
      <c r="I853" s="44"/>
      <c r="J853" s="76"/>
    </row>
    <row r="854" spans="2:10" ht="15">
      <c r="B854" s="76"/>
      <c r="C854" s="76"/>
      <c r="D854" s="44"/>
      <c r="E854" s="44"/>
      <c r="F854" s="44"/>
      <c r="G854" s="44"/>
      <c r="H854" s="44"/>
      <c r="I854" s="44"/>
      <c r="J854" s="76"/>
    </row>
    <row r="855" spans="2:10" ht="15">
      <c r="B855" s="76"/>
      <c r="C855" s="76"/>
      <c r="D855" s="44"/>
      <c r="E855" s="44"/>
      <c r="F855" s="44"/>
      <c r="G855" s="44"/>
      <c r="H855" s="44"/>
      <c r="I855" s="44"/>
      <c r="J855" s="76"/>
    </row>
    <row r="856" spans="2:10" ht="15">
      <c r="B856" s="76"/>
      <c r="C856" s="76"/>
      <c r="D856" s="44"/>
      <c r="E856" s="44"/>
      <c r="F856" s="44"/>
      <c r="G856" s="44"/>
      <c r="H856" s="44"/>
      <c r="I856" s="44"/>
      <c r="J856" s="76"/>
    </row>
    <row r="857" spans="2:10" ht="15">
      <c r="B857" s="76"/>
      <c r="C857" s="76"/>
      <c r="D857" s="44"/>
      <c r="E857" s="44"/>
      <c r="F857" s="44"/>
      <c r="G857" s="44"/>
      <c r="H857" s="44"/>
      <c r="I857" s="44"/>
      <c r="J857" s="76"/>
    </row>
    <row r="858" spans="2:10" ht="15">
      <c r="B858" s="76"/>
      <c r="C858" s="76"/>
      <c r="D858" s="44"/>
      <c r="E858" s="44"/>
      <c r="F858" s="44"/>
      <c r="G858" s="44"/>
      <c r="H858" s="44"/>
      <c r="I858" s="44"/>
      <c r="J858" s="76"/>
    </row>
    <row r="859" spans="2:10" ht="15">
      <c r="B859" s="76"/>
      <c r="C859" s="76"/>
      <c r="D859" s="44"/>
      <c r="E859" s="44"/>
      <c r="F859" s="44"/>
      <c r="G859" s="44"/>
      <c r="H859" s="44"/>
      <c r="I859" s="44"/>
      <c r="J859" s="76"/>
    </row>
    <row r="860" spans="2:10" ht="15">
      <c r="B860" s="76"/>
      <c r="C860" s="76"/>
      <c r="D860" s="44"/>
      <c r="E860" s="44"/>
      <c r="F860" s="44"/>
      <c r="G860" s="44"/>
      <c r="H860" s="44"/>
      <c r="I860" s="44"/>
      <c r="J860" s="76"/>
    </row>
    <row r="861" spans="2:10" ht="15">
      <c r="B861" s="76"/>
      <c r="C861" s="76"/>
      <c r="D861" s="44"/>
      <c r="E861" s="44"/>
      <c r="F861" s="44"/>
      <c r="G861" s="44"/>
      <c r="H861" s="44"/>
      <c r="I861" s="44"/>
      <c r="J861" s="76"/>
    </row>
    <row r="862" spans="2:10" ht="15">
      <c r="B862" s="76"/>
      <c r="C862" s="76"/>
      <c r="D862" s="44"/>
      <c r="E862" s="44"/>
      <c r="F862" s="44"/>
      <c r="G862" s="44"/>
      <c r="H862" s="44"/>
      <c r="I862" s="44"/>
      <c r="J862" s="76"/>
    </row>
    <row r="863" spans="2:10" ht="15">
      <c r="B863" s="76"/>
      <c r="C863" s="76"/>
      <c r="D863" s="44"/>
      <c r="E863" s="44"/>
      <c r="F863" s="44"/>
      <c r="G863" s="44"/>
      <c r="H863" s="44"/>
      <c r="I863" s="44"/>
      <c r="J863" s="76"/>
    </row>
    <row r="864" spans="2:10" ht="15">
      <c r="B864" s="76"/>
      <c r="C864" s="76"/>
      <c r="D864" s="44"/>
      <c r="E864" s="44"/>
      <c r="F864" s="44"/>
      <c r="G864" s="44"/>
      <c r="H864" s="44"/>
      <c r="I864" s="44"/>
      <c r="J864" s="76"/>
    </row>
    <row r="865" spans="2:10" ht="15">
      <c r="B865" s="76"/>
      <c r="C865" s="76"/>
      <c r="D865" s="44"/>
      <c r="E865" s="44"/>
      <c r="F865" s="44"/>
      <c r="G865" s="44"/>
      <c r="H865" s="44"/>
      <c r="I865" s="44"/>
      <c r="J865" s="76"/>
    </row>
    <row r="866" spans="2:10" ht="15">
      <c r="B866" s="76"/>
      <c r="C866" s="76"/>
      <c r="D866" s="44"/>
      <c r="E866" s="44"/>
      <c r="F866" s="44"/>
      <c r="G866" s="44"/>
      <c r="H866" s="44"/>
      <c r="I866" s="44"/>
      <c r="J866" s="76"/>
    </row>
    <row r="867" spans="2:10" ht="15">
      <c r="B867" s="76"/>
      <c r="C867" s="76"/>
      <c r="D867" s="44"/>
      <c r="E867" s="44"/>
      <c r="F867" s="44"/>
      <c r="G867" s="44"/>
      <c r="H867" s="44"/>
      <c r="I867" s="44"/>
      <c r="J867" s="76"/>
    </row>
    <row r="868" spans="2:10" ht="15">
      <c r="B868" s="76"/>
      <c r="C868" s="76"/>
      <c r="D868" s="44"/>
      <c r="E868" s="44"/>
      <c r="F868" s="44"/>
      <c r="G868" s="44"/>
      <c r="H868" s="44"/>
      <c r="I868" s="44"/>
      <c r="J868" s="76"/>
    </row>
    <row r="869" spans="2:10" ht="15">
      <c r="B869" s="76"/>
      <c r="C869" s="76"/>
      <c r="D869" s="44"/>
      <c r="E869" s="44"/>
      <c r="F869" s="44"/>
      <c r="G869" s="44"/>
      <c r="H869" s="44"/>
      <c r="I869" s="44"/>
      <c r="J869" s="76"/>
    </row>
    <row r="870" spans="2:10" ht="15">
      <c r="B870" s="76"/>
      <c r="C870" s="76"/>
      <c r="D870" s="44"/>
      <c r="E870" s="44"/>
      <c r="F870" s="44"/>
      <c r="G870" s="44"/>
      <c r="H870" s="44"/>
      <c r="I870" s="44"/>
      <c r="J870" s="76"/>
    </row>
    <row r="871" spans="2:10" ht="15">
      <c r="B871" s="76"/>
      <c r="C871" s="76"/>
      <c r="D871" s="44"/>
      <c r="E871" s="44"/>
      <c r="F871" s="44"/>
      <c r="G871" s="44"/>
      <c r="H871" s="44"/>
      <c r="I871" s="44"/>
      <c r="J871" s="76"/>
    </row>
    <row r="872" spans="2:10" ht="15">
      <c r="B872" s="76"/>
      <c r="C872" s="76"/>
      <c r="D872" s="44"/>
      <c r="E872" s="44"/>
      <c r="F872" s="44"/>
      <c r="G872" s="44"/>
      <c r="H872" s="44"/>
      <c r="I872" s="44"/>
      <c r="J872" s="76"/>
    </row>
    <row r="873" spans="2:10" ht="15">
      <c r="B873" s="76"/>
      <c r="C873" s="76"/>
      <c r="D873" s="44"/>
      <c r="E873" s="44"/>
      <c r="F873" s="44"/>
      <c r="G873" s="44"/>
      <c r="H873" s="44"/>
      <c r="I873" s="44"/>
      <c r="J873" s="76"/>
    </row>
    <row r="874" spans="2:10" ht="15">
      <c r="B874" s="76"/>
      <c r="C874" s="76"/>
      <c r="D874" s="44"/>
      <c r="E874" s="44"/>
      <c r="F874" s="44"/>
      <c r="G874" s="44"/>
      <c r="H874" s="44"/>
      <c r="I874" s="44"/>
      <c r="J874" s="76"/>
    </row>
    <row r="875" spans="2:10" ht="15">
      <c r="B875" s="76"/>
      <c r="C875" s="76"/>
      <c r="D875" s="44"/>
      <c r="E875" s="44"/>
      <c r="F875" s="44"/>
      <c r="G875" s="44"/>
      <c r="H875" s="44"/>
      <c r="I875" s="44"/>
      <c r="J875" s="76"/>
    </row>
    <row r="876" spans="2:10" ht="15">
      <c r="B876" s="76"/>
      <c r="C876" s="76"/>
      <c r="D876" s="44"/>
      <c r="E876" s="44"/>
      <c r="F876" s="44"/>
      <c r="G876" s="44"/>
      <c r="H876" s="44"/>
      <c r="I876" s="44"/>
      <c r="J876" s="76"/>
    </row>
    <row r="877" spans="2:10" ht="15">
      <c r="B877" s="76"/>
      <c r="C877" s="76"/>
      <c r="D877" s="44"/>
      <c r="E877" s="44"/>
      <c r="F877" s="44"/>
      <c r="G877" s="44"/>
      <c r="H877" s="44"/>
      <c r="I877" s="44"/>
      <c r="J877" s="76"/>
    </row>
    <row r="878" spans="2:10" ht="15">
      <c r="B878" s="76"/>
      <c r="C878" s="76"/>
      <c r="D878" s="44"/>
      <c r="E878" s="44"/>
      <c r="F878" s="44"/>
      <c r="G878" s="44"/>
      <c r="H878" s="44"/>
      <c r="I878" s="44"/>
      <c r="J878" s="76"/>
    </row>
    <row r="879" spans="2:10" ht="15">
      <c r="B879" s="76"/>
      <c r="C879" s="76"/>
      <c r="D879" s="44"/>
      <c r="E879" s="44"/>
      <c r="F879" s="44"/>
      <c r="G879" s="44"/>
      <c r="H879" s="44"/>
      <c r="I879" s="44"/>
      <c r="J879" s="76"/>
    </row>
    <row r="880" spans="2:10" ht="15">
      <c r="B880" s="76"/>
      <c r="C880" s="76"/>
      <c r="D880" s="44"/>
      <c r="E880" s="44"/>
      <c r="F880" s="44"/>
      <c r="G880" s="44"/>
      <c r="H880" s="44"/>
      <c r="I880" s="44"/>
      <c r="J880" s="76"/>
    </row>
    <row r="881" spans="2:10" ht="15">
      <c r="B881" s="76"/>
      <c r="C881" s="76"/>
      <c r="D881" s="44"/>
      <c r="E881" s="44"/>
      <c r="F881" s="44"/>
      <c r="G881" s="44"/>
      <c r="H881" s="44"/>
      <c r="I881" s="44"/>
      <c r="J881" s="76"/>
    </row>
    <row r="882" spans="2:10" ht="15">
      <c r="B882" s="76"/>
      <c r="C882" s="76"/>
      <c r="D882" s="44"/>
      <c r="E882" s="44"/>
      <c r="F882" s="44"/>
      <c r="G882" s="44"/>
      <c r="H882" s="44"/>
      <c r="I882" s="44"/>
      <c r="J882" s="76"/>
    </row>
    <row r="883" spans="2:10" ht="15">
      <c r="B883" s="76"/>
      <c r="C883" s="76"/>
      <c r="D883" s="44"/>
      <c r="E883" s="44"/>
      <c r="F883" s="44"/>
      <c r="G883" s="44"/>
      <c r="H883" s="44"/>
      <c r="I883" s="44"/>
      <c r="J883" s="76"/>
    </row>
    <row r="884" spans="2:10" ht="15">
      <c r="B884" s="76"/>
      <c r="C884" s="76"/>
      <c r="D884" s="44"/>
      <c r="E884" s="44"/>
      <c r="F884" s="44"/>
      <c r="G884" s="44"/>
      <c r="H884" s="44"/>
      <c r="I884" s="44"/>
      <c r="J884" s="76"/>
    </row>
    <row r="885" spans="2:10" ht="15">
      <c r="B885" s="76"/>
      <c r="C885" s="76"/>
      <c r="D885" s="44"/>
      <c r="E885" s="44"/>
      <c r="F885" s="44"/>
      <c r="G885" s="44"/>
      <c r="H885" s="44"/>
      <c r="I885" s="44"/>
      <c r="J885" s="76"/>
    </row>
    <row r="886" spans="2:10" ht="15">
      <c r="B886" s="76"/>
      <c r="C886" s="76"/>
      <c r="D886" s="44"/>
      <c r="E886" s="44"/>
      <c r="F886" s="44"/>
      <c r="G886" s="44"/>
      <c r="H886" s="44"/>
      <c r="I886" s="44"/>
      <c r="J886" s="76"/>
    </row>
    <row r="887" spans="2:10" ht="15">
      <c r="B887" s="76"/>
      <c r="C887" s="76"/>
      <c r="D887" s="44"/>
      <c r="E887" s="44"/>
      <c r="F887" s="44"/>
      <c r="G887" s="44"/>
      <c r="H887" s="44"/>
      <c r="I887" s="44"/>
      <c r="J887" s="76"/>
    </row>
    <row r="888" spans="2:10" ht="15">
      <c r="B888" s="76"/>
      <c r="C888" s="76"/>
      <c r="D888" s="44"/>
      <c r="E888" s="44"/>
      <c r="F888" s="44"/>
      <c r="G888" s="44"/>
      <c r="H888" s="44"/>
      <c r="I888" s="44"/>
      <c r="J888" s="76"/>
    </row>
    <row r="889" spans="2:10" ht="15">
      <c r="B889" s="76"/>
      <c r="C889" s="76"/>
      <c r="D889" s="44"/>
      <c r="E889" s="44"/>
      <c r="F889" s="44"/>
      <c r="G889" s="44"/>
      <c r="H889" s="44"/>
      <c r="I889" s="44"/>
      <c r="J889" s="76"/>
    </row>
    <row r="890" spans="2:10" ht="15">
      <c r="B890" s="76"/>
      <c r="C890" s="76"/>
      <c r="D890" s="44"/>
      <c r="E890" s="44"/>
      <c r="F890" s="44"/>
      <c r="G890" s="44"/>
      <c r="H890" s="44"/>
      <c r="I890" s="44"/>
      <c r="J890" s="76"/>
    </row>
    <row r="891" spans="2:10" ht="15">
      <c r="B891" s="76"/>
      <c r="C891" s="76"/>
      <c r="D891" s="44"/>
      <c r="E891" s="44"/>
      <c r="F891" s="44"/>
      <c r="G891" s="44"/>
      <c r="H891" s="44"/>
      <c r="I891" s="44"/>
      <c r="J891" s="76"/>
    </row>
    <row r="892" spans="2:10" ht="15">
      <c r="B892" s="76"/>
      <c r="C892" s="76"/>
      <c r="D892" s="44"/>
      <c r="E892" s="44"/>
      <c r="F892" s="44"/>
      <c r="G892" s="44"/>
      <c r="H892" s="44"/>
      <c r="I892" s="44"/>
      <c r="J892" s="76"/>
    </row>
    <row r="893" spans="2:10" ht="15">
      <c r="B893" s="76"/>
      <c r="C893" s="76"/>
      <c r="D893" s="44"/>
      <c r="E893" s="44"/>
      <c r="F893" s="44"/>
      <c r="G893" s="44"/>
      <c r="H893" s="44"/>
      <c r="I893" s="44"/>
      <c r="J893" s="76"/>
    </row>
    <row r="894" spans="2:10" ht="15">
      <c r="B894" s="76"/>
      <c r="C894" s="76"/>
      <c r="D894" s="44"/>
      <c r="E894" s="44"/>
      <c r="F894" s="44"/>
      <c r="G894" s="44"/>
      <c r="H894" s="44"/>
      <c r="I894" s="44"/>
      <c r="J894" s="76"/>
    </row>
    <row r="895" spans="2:10" ht="15">
      <c r="B895" s="76"/>
      <c r="C895" s="76"/>
      <c r="D895" s="44"/>
      <c r="E895" s="44"/>
      <c r="F895" s="44"/>
      <c r="G895" s="44"/>
      <c r="H895" s="44"/>
      <c r="I895" s="44"/>
      <c r="J895" s="76"/>
    </row>
    <row r="896" spans="2:10" ht="15">
      <c r="B896" s="76"/>
      <c r="C896" s="76"/>
      <c r="D896" s="44"/>
      <c r="E896" s="44"/>
      <c r="F896" s="44"/>
      <c r="G896" s="44"/>
      <c r="H896" s="44"/>
      <c r="I896" s="44"/>
      <c r="J896" s="76"/>
    </row>
    <row r="897" spans="2:10" ht="15">
      <c r="B897" s="76"/>
      <c r="C897" s="76"/>
      <c r="D897" s="44"/>
      <c r="E897" s="44"/>
      <c r="F897" s="44"/>
      <c r="G897" s="44"/>
      <c r="H897" s="44"/>
      <c r="I897" s="44"/>
      <c r="J897" s="76"/>
    </row>
    <row r="898" spans="2:10" ht="15">
      <c r="B898" s="76"/>
      <c r="C898" s="76"/>
      <c r="D898" s="44"/>
      <c r="E898" s="44"/>
      <c r="F898" s="44"/>
      <c r="G898" s="44"/>
      <c r="H898" s="44"/>
      <c r="I898" s="44"/>
      <c r="J898" s="76"/>
    </row>
    <row r="899" spans="2:10" ht="15">
      <c r="B899" s="76"/>
      <c r="C899" s="76"/>
      <c r="D899" s="44"/>
      <c r="E899" s="44"/>
      <c r="F899" s="44"/>
      <c r="G899" s="44"/>
      <c r="H899" s="44"/>
      <c r="I899" s="44"/>
      <c r="J899" s="76"/>
    </row>
    <row r="900" spans="2:10" ht="15">
      <c r="B900" s="76"/>
      <c r="C900" s="76"/>
      <c r="D900" s="44"/>
      <c r="E900" s="44"/>
      <c r="F900" s="44"/>
      <c r="G900" s="44"/>
      <c r="H900" s="44"/>
      <c r="I900" s="44"/>
      <c r="J900" s="76"/>
    </row>
    <row r="901" spans="2:10" ht="15">
      <c r="B901" s="76"/>
      <c r="C901" s="76"/>
      <c r="D901" s="44"/>
      <c r="E901" s="44"/>
      <c r="F901" s="44"/>
      <c r="G901" s="44"/>
      <c r="H901" s="44"/>
      <c r="I901" s="44"/>
      <c r="J901" s="76"/>
    </row>
    <row r="902" spans="2:10" ht="15">
      <c r="B902" s="76"/>
      <c r="C902" s="76"/>
      <c r="D902" s="44"/>
      <c r="E902" s="44"/>
      <c r="F902" s="44"/>
      <c r="G902" s="44"/>
      <c r="H902" s="44"/>
      <c r="I902" s="44"/>
      <c r="J902" s="76"/>
    </row>
    <row r="903" spans="2:10" ht="15">
      <c r="B903" s="76"/>
      <c r="C903" s="76"/>
      <c r="D903" s="44"/>
      <c r="E903" s="44"/>
      <c r="F903" s="44"/>
      <c r="G903" s="44"/>
      <c r="H903" s="44"/>
      <c r="I903" s="44"/>
      <c r="J903" s="76"/>
    </row>
    <row r="904" spans="2:10" ht="15">
      <c r="B904" s="76"/>
      <c r="C904" s="76"/>
      <c r="D904" s="44"/>
      <c r="E904" s="44"/>
      <c r="F904" s="44"/>
      <c r="G904" s="44"/>
      <c r="H904" s="44"/>
      <c r="I904" s="44"/>
      <c r="J904" s="76"/>
    </row>
    <row r="905" spans="2:10" ht="15">
      <c r="B905" s="76"/>
      <c r="C905" s="76"/>
      <c r="D905" s="44"/>
      <c r="E905" s="44"/>
      <c r="F905" s="44"/>
      <c r="G905" s="44"/>
      <c r="H905" s="44"/>
      <c r="I905" s="44"/>
      <c r="J905" s="76"/>
    </row>
    <row r="906" spans="2:10" ht="15">
      <c r="B906" s="76"/>
      <c r="C906" s="76"/>
      <c r="D906" s="44"/>
      <c r="E906" s="44"/>
      <c r="F906" s="44"/>
      <c r="G906" s="44"/>
      <c r="H906" s="44"/>
      <c r="I906" s="44"/>
      <c r="J906" s="76"/>
    </row>
    <row r="907" spans="2:10" ht="15">
      <c r="B907" s="76"/>
      <c r="C907" s="76"/>
      <c r="D907" s="44"/>
      <c r="E907" s="44"/>
      <c r="F907" s="44"/>
      <c r="G907" s="44"/>
      <c r="H907" s="44"/>
      <c r="I907" s="44"/>
      <c r="J907" s="76"/>
    </row>
    <row r="908" spans="2:10" ht="15">
      <c r="B908" s="76"/>
      <c r="C908" s="76"/>
      <c r="D908" s="44"/>
      <c r="E908" s="44"/>
      <c r="F908" s="44"/>
      <c r="G908" s="44"/>
      <c r="H908" s="44"/>
      <c r="I908" s="44"/>
      <c r="J908" s="76"/>
    </row>
    <row r="909" spans="2:10" ht="15">
      <c r="B909" s="76"/>
      <c r="C909" s="76"/>
      <c r="D909" s="44"/>
      <c r="E909" s="44"/>
      <c r="F909" s="44"/>
      <c r="G909" s="44"/>
      <c r="H909" s="44"/>
      <c r="I909" s="44"/>
      <c r="J909" s="76"/>
    </row>
    <row r="910" spans="2:10" ht="15">
      <c r="B910" s="76"/>
      <c r="C910" s="76"/>
      <c r="D910" s="44"/>
      <c r="E910" s="44"/>
      <c r="F910" s="44"/>
      <c r="G910" s="44"/>
      <c r="H910" s="44"/>
      <c r="I910" s="44"/>
      <c r="J910" s="76"/>
    </row>
    <row r="911" spans="2:10" ht="15">
      <c r="B911" s="76"/>
      <c r="C911" s="76"/>
      <c r="D911" s="44"/>
      <c r="E911" s="44"/>
      <c r="F911" s="44"/>
      <c r="G911" s="44"/>
      <c r="H911" s="44"/>
      <c r="I911" s="44"/>
      <c r="J911" s="76"/>
    </row>
    <row r="912" spans="2:10" ht="15">
      <c r="B912" s="76"/>
      <c r="C912" s="76"/>
      <c r="D912" s="44"/>
      <c r="E912" s="44"/>
      <c r="F912" s="44"/>
      <c r="G912" s="44"/>
      <c r="H912" s="44"/>
      <c r="I912" s="44"/>
      <c r="J912" s="76"/>
    </row>
    <row r="913" spans="2:10" ht="15">
      <c r="B913" s="76"/>
      <c r="C913" s="76"/>
      <c r="D913" s="44"/>
      <c r="E913" s="44"/>
      <c r="F913" s="44"/>
      <c r="G913" s="44"/>
      <c r="H913" s="44"/>
      <c r="I913" s="44"/>
      <c r="J913" s="76"/>
    </row>
    <row r="914" spans="2:10" ht="15">
      <c r="B914" s="76"/>
      <c r="C914" s="76"/>
      <c r="D914" s="44"/>
      <c r="E914" s="44"/>
      <c r="F914" s="44"/>
      <c r="G914" s="44"/>
      <c r="H914" s="44"/>
      <c r="I914" s="44"/>
      <c r="J914" s="76"/>
    </row>
    <row r="915" spans="2:10" ht="15">
      <c r="B915" s="76"/>
      <c r="C915" s="76"/>
      <c r="D915" s="44"/>
      <c r="E915" s="44"/>
      <c r="F915" s="44"/>
      <c r="G915" s="44"/>
      <c r="H915" s="44"/>
      <c r="I915" s="44"/>
      <c r="J915" s="76"/>
    </row>
    <row r="916" spans="2:10" ht="15">
      <c r="B916" s="76"/>
      <c r="C916" s="76"/>
      <c r="D916" s="44"/>
      <c r="E916" s="44"/>
      <c r="F916" s="44"/>
      <c r="G916" s="44"/>
      <c r="H916" s="44"/>
      <c r="I916" s="44"/>
      <c r="J916" s="76"/>
    </row>
    <row r="917" spans="2:10" ht="15">
      <c r="B917" s="76"/>
      <c r="C917" s="76"/>
      <c r="D917" s="44"/>
      <c r="E917" s="44"/>
      <c r="F917" s="44"/>
      <c r="G917" s="44"/>
      <c r="H917" s="44"/>
      <c r="I917" s="44"/>
      <c r="J917" s="76"/>
    </row>
    <row r="918" spans="2:10" ht="15">
      <c r="B918" s="76"/>
      <c r="C918" s="76"/>
      <c r="D918" s="44"/>
      <c r="E918" s="44"/>
      <c r="F918" s="44"/>
      <c r="G918" s="44"/>
      <c r="H918" s="44"/>
      <c r="I918" s="44"/>
      <c r="J918" s="76"/>
    </row>
    <row r="919" spans="2:10" ht="15">
      <c r="B919" s="76"/>
      <c r="C919" s="76"/>
      <c r="D919" s="44"/>
      <c r="E919" s="44"/>
      <c r="F919" s="44"/>
      <c r="G919" s="44"/>
      <c r="H919" s="44"/>
      <c r="I919" s="44"/>
      <c r="J919" s="76"/>
    </row>
    <row r="920" spans="2:10" ht="15">
      <c r="B920" s="76"/>
      <c r="C920" s="76"/>
      <c r="D920" s="44"/>
      <c r="E920" s="44"/>
      <c r="F920" s="44"/>
      <c r="G920" s="44"/>
      <c r="H920" s="44"/>
      <c r="I920" s="44"/>
      <c r="J920" s="76"/>
    </row>
    <row r="921" spans="2:10" ht="15">
      <c r="B921" s="76"/>
      <c r="C921" s="76"/>
      <c r="D921" s="44"/>
      <c r="E921" s="44"/>
      <c r="F921" s="44"/>
      <c r="G921" s="44"/>
      <c r="H921" s="44"/>
      <c r="I921" s="44"/>
      <c r="J921" s="76"/>
    </row>
    <row r="922" spans="2:10" ht="15">
      <c r="B922" s="76"/>
      <c r="C922" s="76"/>
      <c r="D922" s="44"/>
      <c r="E922" s="44"/>
      <c r="F922" s="44"/>
      <c r="G922" s="44"/>
      <c r="H922" s="44"/>
      <c r="I922" s="44"/>
      <c r="J922" s="76"/>
    </row>
    <row r="923" spans="2:10" ht="15">
      <c r="B923" s="76"/>
      <c r="C923" s="76"/>
      <c r="D923" s="44"/>
      <c r="E923" s="44"/>
      <c r="F923" s="44"/>
      <c r="G923" s="44"/>
      <c r="H923" s="44"/>
      <c r="I923" s="44"/>
      <c r="J923" s="76"/>
    </row>
    <row r="924" spans="2:10" ht="15">
      <c r="B924" s="76"/>
      <c r="C924" s="76"/>
      <c r="D924" s="44"/>
      <c r="E924" s="44"/>
      <c r="F924" s="44"/>
      <c r="G924" s="44"/>
      <c r="H924" s="44"/>
      <c r="I924" s="44"/>
      <c r="J924" s="76"/>
    </row>
    <row r="925" spans="2:10" ht="15">
      <c r="B925" s="76"/>
      <c r="C925" s="76"/>
      <c r="D925" s="44"/>
      <c r="E925" s="44"/>
      <c r="F925" s="44"/>
      <c r="G925" s="44"/>
      <c r="H925" s="44"/>
      <c r="I925" s="44"/>
      <c r="J925" s="76"/>
    </row>
    <row r="926" spans="2:10" ht="15">
      <c r="B926" s="76"/>
      <c r="C926" s="76"/>
      <c r="D926" s="44"/>
      <c r="E926" s="44"/>
      <c r="F926" s="44"/>
      <c r="G926" s="44"/>
      <c r="H926" s="44"/>
      <c r="I926" s="44"/>
      <c r="J926" s="76"/>
    </row>
    <row r="927" spans="2:10" ht="15">
      <c r="B927" s="76"/>
      <c r="C927" s="76"/>
      <c r="D927" s="44"/>
      <c r="E927" s="44"/>
      <c r="F927" s="44"/>
      <c r="G927" s="44"/>
      <c r="H927" s="44"/>
      <c r="I927" s="44"/>
      <c r="J927" s="76"/>
    </row>
    <row r="928" spans="2:10" ht="15">
      <c r="B928" s="76"/>
      <c r="C928" s="76"/>
      <c r="D928" s="44"/>
      <c r="E928" s="44"/>
      <c r="F928" s="44"/>
      <c r="G928" s="44"/>
      <c r="H928" s="44"/>
      <c r="I928" s="44"/>
      <c r="J928" s="76"/>
    </row>
    <row r="929" spans="2:10" ht="15">
      <c r="B929" s="76"/>
      <c r="C929" s="76"/>
      <c r="D929" s="44"/>
      <c r="E929" s="44"/>
      <c r="F929" s="44"/>
      <c r="G929" s="44"/>
      <c r="H929" s="44"/>
      <c r="I929" s="44"/>
      <c r="J929" s="76"/>
    </row>
    <row r="930" spans="2:10" ht="15">
      <c r="B930" s="76"/>
      <c r="C930" s="76"/>
      <c r="D930" s="44"/>
      <c r="E930" s="44"/>
      <c r="F930" s="44"/>
      <c r="G930" s="44"/>
      <c r="H930" s="44"/>
      <c r="I930" s="44"/>
      <c r="J930" s="76"/>
    </row>
    <row r="931" spans="2:10" ht="15">
      <c r="B931" s="76"/>
      <c r="C931" s="76"/>
      <c r="D931" s="44"/>
      <c r="E931" s="44"/>
      <c r="F931" s="44"/>
      <c r="G931" s="44"/>
      <c r="H931" s="44"/>
      <c r="I931" s="44"/>
      <c r="J931" s="76"/>
    </row>
    <row r="932" spans="2:10" ht="15">
      <c r="B932" s="76"/>
      <c r="C932" s="76"/>
      <c r="D932" s="44"/>
      <c r="E932" s="44"/>
      <c r="F932" s="44"/>
      <c r="G932" s="44"/>
      <c r="H932" s="44"/>
      <c r="I932" s="44"/>
      <c r="J932" s="76"/>
    </row>
    <row r="933" spans="2:10" ht="15">
      <c r="B933" s="76"/>
      <c r="C933" s="76"/>
      <c r="D933" s="44"/>
      <c r="E933" s="44"/>
      <c r="F933" s="44"/>
      <c r="G933" s="44"/>
      <c r="H933" s="44"/>
      <c r="I933" s="44"/>
      <c r="J933" s="76"/>
    </row>
    <row r="934" spans="2:10" ht="15">
      <c r="B934" s="76"/>
      <c r="C934" s="76"/>
      <c r="D934" s="44"/>
      <c r="E934" s="44"/>
      <c r="F934" s="44"/>
      <c r="G934" s="44"/>
      <c r="H934" s="44"/>
      <c r="I934" s="44"/>
      <c r="J934" s="76"/>
    </row>
    <row r="935" spans="2:10" ht="15">
      <c r="B935" s="76"/>
      <c r="C935" s="76"/>
      <c r="D935" s="44"/>
      <c r="E935" s="44"/>
      <c r="F935" s="44"/>
      <c r="G935" s="44"/>
      <c r="H935" s="44"/>
      <c r="I935" s="44"/>
      <c r="J935" s="76"/>
    </row>
    <row r="936" spans="2:10" ht="15">
      <c r="B936" s="76"/>
      <c r="C936" s="76"/>
      <c r="D936" s="44"/>
      <c r="E936" s="44"/>
      <c r="F936" s="44"/>
      <c r="G936" s="44"/>
      <c r="H936" s="44"/>
      <c r="I936" s="44"/>
      <c r="J936" s="76"/>
    </row>
    <row r="937" spans="2:10" ht="15">
      <c r="B937" s="76"/>
      <c r="C937" s="76"/>
      <c r="D937" s="44"/>
      <c r="E937" s="44"/>
      <c r="F937" s="44"/>
      <c r="G937" s="44"/>
      <c r="H937" s="44"/>
      <c r="I937" s="44"/>
      <c r="J937" s="76"/>
    </row>
    <row r="938" spans="2:10" ht="15">
      <c r="B938" s="76"/>
      <c r="C938" s="76"/>
      <c r="D938" s="44"/>
      <c r="E938" s="44"/>
      <c r="F938" s="44"/>
      <c r="G938" s="44"/>
      <c r="H938" s="44"/>
      <c r="I938" s="44"/>
      <c r="J938" s="76"/>
    </row>
    <row r="939" spans="2:10" ht="15">
      <c r="B939" s="76"/>
      <c r="C939" s="76"/>
      <c r="D939" s="44"/>
      <c r="E939" s="44"/>
      <c r="F939" s="44"/>
      <c r="G939" s="44"/>
      <c r="H939" s="44"/>
      <c r="I939" s="44"/>
      <c r="J939" s="76"/>
    </row>
    <row r="940" spans="2:10" ht="15">
      <c r="B940" s="76"/>
      <c r="C940" s="76"/>
      <c r="D940" s="44"/>
      <c r="E940" s="44"/>
      <c r="F940" s="44"/>
      <c r="G940" s="44"/>
      <c r="H940" s="44"/>
      <c r="I940" s="44"/>
      <c r="J940" s="76"/>
    </row>
    <row r="941" spans="2:10" ht="15">
      <c r="B941" s="76"/>
      <c r="C941" s="76"/>
      <c r="D941" s="44"/>
      <c r="E941" s="44"/>
      <c r="F941" s="44"/>
      <c r="G941" s="44"/>
      <c r="H941" s="44"/>
      <c r="I941" s="44"/>
      <c r="J941" s="76"/>
    </row>
    <row r="942" spans="2:10" ht="15">
      <c r="B942" s="76"/>
      <c r="C942" s="76"/>
      <c r="D942" s="44"/>
      <c r="E942" s="44"/>
      <c r="F942" s="44"/>
      <c r="G942" s="44"/>
      <c r="H942" s="44"/>
      <c r="I942" s="44"/>
      <c r="J942" s="76"/>
    </row>
    <row r="943" spans="2:10" ht="15">
      <c r="B943" s="76"/>
      <c r="C943" s="76"/>
      <c r="D943" s="44"/>
      <c r="E943" s="44"/>
      <c r="F943" s="44"/>
      <c r="G943" s="44"/>
      <c r="H943" s="44"/>
      <c r="I943" s="44"/>
      <c r="J943" s="76"/>
    </row>
    <row r="944" spans="2:10" ht="15">
      <c r="B944" s="76"/>
      <c r="C944" s="76"/>
      <c r="D944" s="44"/>
      <c r="E944" s="44"/>
      <c r="F944" s="44"/>
      <c r="G944" s="44"/>
      <c r="H944" s="44"/>
      <c r="I944" s="44"/>
      <c r="J944" s="76"/>
    </row>
    <row r="945" spans="2:10" ht="15">
      <c r="B945" s="76"/>
      <c r="C945" s="76"/>
      <c r="D945" s="44"/>
      <c r="E945" s="44"/>
      <c r="F945" s="44"/>
      <c r="G945" s="44"/>
      <c r="H945" s="44"/>
      <c r="I945" s="44"/>
      <c r="J945" s="76"/>
    </row>
    <row r="946" spans="2:10" ht="15">
      <c r="B946" s="76"/>
      <c r="C946" s="76"/>
      <c r="D946" s="44"/>
      <c r="E946" s="44"/>
      <c r="F946" s="44"/>
      <c r="G946" s="44"/>
      <c r="H946" s="44"/>
      <c r="I946" s="44"/>
      <c r="J946" s="76"/>
    </row>
    <row r="947" spans="2:10" ht="15">
      <c r="B947" s="76"/>
      <c r="C947" s="76"/>
      <c r="D947" s="44"/>
      <c r="E947" s="44"/>
      <c r="F947" s="44"/>
      <c r="G947" s="44"/>
      <c r="H947" s="44"/>
      <c r="I947" s="44"/>
      <c r="J947" s="76"/>
    </row>
    <row r="948" spans="2:10" ht="15">
      <c r="B948" s="76"/>
      <c r="C948" s="76"/>
      <c r="D948" s="44"/>
      <c r="E948" s="44"/>
      <c r="F948" s="44"/>
      <c r="G948" s="44"/>
      <c r="H948" s="44"/>
      <c r="I948" s="44"/>
      <c r="J948" s="76"/>
    </row>
    <row r="949" spans="2:10" ht="15">
      <c r="B949" s="76"/>
      <c r="C949" s="76"/>
      <c r="D949" s="44"/>
      <c r="E949" s="44"/>
      <c r="F949" s="44"/>
      <c r="G949" s="44"/>
      <c r="H949" s="44"/>
      <c r="I949" s="44"/>
      <c r="J949" s="76"/>
    </row>
    <row r="950" spans="2:10" ht="15">
      <c r="B950" s="76"/>
      <c r="C950" s="76"/>
      <c r="D950" s="44"/>
      <c r="E950" s="44"/>
      <c r="F950" s="44"/>
      <c r="G950" s="44"/>
      <c r="H950" s="44"/>
      <c r="I950" s="44"/>
      <c r="J950" s="76"/>
    </row>
    <row r="951" spans="2:10" ht="15">
      <c r="B951" s="76"/>
      <c r="C951" s="76"/>
      <c r="D951" s="44"/>
      <c r="E951" s="44"/>
      <c r="F951" s="44"/>
      <c r="G951" s="44"/>
      <c r="H951" s="44"/>
      <c r="I951" s="44"/>
      <c r="J951" s="76"/>
    </row>
    <row r="952" spans="2:10" ht="15">
      <c r="B952" s="76"/>
      <c r="C952" s="76"/>
      <c r="D952" s="44"/>
      <c r="E952" s="44"/>
      <c r="F952" s="44"/>
      <c r="G952" s="44"/>
      <c r="H952" s="44"/>
      <c r="I952" s="44"/>
      <c r="J952" s="76"/>
    </row>
    <row r="953" spans="2:10" ht="15">
      <c r="B953" s="76"/>
      <c r="C953" s="76"/>
      <c r="D953" s="44"/>
      <c r="E953" s="44"/>
      <c r="F953" s="44"/>
      <c r="G953" s="44"/>
      <c r="H953" s="44"/>
      <c r="I953" s="44"/>
      <c r="J953" s="76"/>
    </row>
    <row r="954" spans="2:10" ht="15">
      <c r="B954" s="76"/>
      <c r="C954" s="76"/>
      <c r="D954" s="44"/>
      <c r="E954" s="44"/>
      <c r="F954" s="44"/>
      <c r="G954" s="44"/>
      <c r="H954" s="44"/>
      <c r="I954" s="44"/>
      <c r="J954" s="76"/>
    </row>
    <row r="955" spans="2:10" ht="15">
      <c r="B955" s="76"/>
      <c r="C955" s="76"/>
      <c r="D955" s="44"/>
      <c r="E955" s="44"/>
      <c r="F955" s="44"/>
      <c r="G955" s="44"/>
      <c r="H955" s="44"/>
      <c r="I955" s="44"/>
      <c r="J955" s="76"/>
    </row>
    <row r="956" spans="2:10" ht="15">
      <c r="B956" s="76"/>
      <c r="C956" s="76"/>
      <c r="D956" s="44"/>
      <c r="E956" s="44"/>
      <c r="F956" s="44"/>
      <c r="G956" s="44"/>
      <c r="H956" s="44"/>
      <c r="I956" s="44"/>
      <c r="J956" s="76"/>
    </row>
    <row r="957" spans="2:10" ht="15">
      <c r="B957" s="76"/>
      <c r="C957" s="76"/>
      <c r="D957" s="44"/>
      <c r="E957" s="44"/>
      <c r="F957" s="44"/>
      <c r="G957" s="44"/>
      <c r="H957" s="44"/>
      <c r="I957" s="44"/>
      <c r="J957" s="76"/>
    </row>
    <row r="958" spans="2:10" ht="15">
      <c r="B958" s="76"/>
      <c r="C958" s="76"/>
      <c r="D958" s="44"/>
      <c r="E958" s="44"/>
      <c r="F958" s="44"/>
      <c r="G958" s="44"/>
      <c r="H958" s="44"/>
      <c r="I958" s="44"/>
      <c r="J958" s="76"/>
    </row>
    <row r="959" spans="2:10" ht="15">
      <c r="B959" s="76"/>
      <c r="C959" s="76"/>
      <c r="D959" s="44"/>
      <c r="E959" s="44"/>
      <c r="F959" s="44"/>
      <c r="G959" s="44"/>
      <c r="H959" s="44"/>
      <c r="I959" s="44"/>
      <c r="J959" s="76"/>
    </row>
    <row r="960" spans="2:10" ht="15">
      <c r="B960" s="76"/>
      <c r="C960" s="76"/>
      <c r="D960" s="44"/>
      <c r="E960" s="44"/>
      <c r="F960" s="44"/>
      <c r="G960" s="44"/>
      <c r="H960" s="44"/>
      <c r="I960" s="44"/>
      <c r="J960" s="76"/>
    </row>
    <row r="961" spans="2:10" ht="15">
      <c r="B961" s="76"/>
      <c r="C961" s="76"/>
      <c r="D961" s="44"/>
      <c r="E961" s="44"/>
      <c r="F961" s="44"/>
      <c r="G961" s="44"/>
      <c r="H961" s="44"/>
      <c r="I961" s="44"/>
      <c r="J961" s="76"/>
    </row>
    <row r="962" spans="2:10" ht="15">
      <c r="B962" s="76"/>
      <c r="C962" s="76"/>
      <c r="D962" s="44"/>
      <c r="E962" s="44"/>
      <c r="F962" s="44"/>
      <c r="G962" s="44"/>
      <c r="H962" s="44"/>
      <c r="I962" s="44"/>
      <c r="J962" s="76"/>
    </row>
    <row r="963" spans="2:10" ht="15">
      <c r="B963" s="76"/>
      <c r="C963" s="76"/>
      <c r="D963" s="44"/>
      <c r="E963" s="44"/>
      <c r="F963" s="44"/>
      <c r="G963" s="44"/>
      <c r="H963" s="44"/>
      <c r="I963" s="44"/>
      <c r="J963" s="76"/>
    </row>
    <row r="964" spans="2:10" ht="15">
      <c r="B964" s="76"/>
      <c r="C964" s="76"/>
      <c r="D964" s="44"/>
      <c r="E964" s="44"/>
      <c r="F964" s="44"/>
      <c r="G964" s="44"/>
      <c r="H964" s="44"/>
      <c r="I964" s="44"/>
      <c r="J964" s="76"/>
    </row>
    <row r="965" spans="2:10" ht="15">
      <c r="B965" s="76"/>
      <c r="C965" s="76"/>
      <c r="D965" s="44"/>
      <c r="E965" s="44"/>
      <c r="F965" s="44"/>
      <c r="G965" s="44"/>
      <c r="H965" s="44"/>
      <c r="I965" s="44"/>
      <c r="J965" s="76"/>
    </row>
    <row r="966" spans="2:10" ht="15">
      <c r="B966" s="76"/>
      <c r="C966" s="76"/>
      <c r="D966" s="44"/>
      <c r="E966" s="44"/>
      <c r="F966" s="44"/>
      <c r="G966" s="44"/>
      <c r="H966" s="44"/>
      <c r="I966" s="44"/>
      <c r="J966" s="76"/>
    </row>
    <row r="967" spans="2:10" ht="15">
      <c r="B967" s="76"/>
      <c r="C967" s="76"/>
      <c r="D967" s="44"/>
      <c r="E967" s="44"/>
      <c r="F967" s="44"/>
      <c r="G967" s="44"/>
      <c r="H967" s="44"/>
      <c r="I967" s="44"/>
      <c r="J967" s="76"/>
    </row>
    <row r="968" spans="2:10" ht="15">
      <c r="B968" s="76"/>
      <c r="C968" s="76"/>
      <c r="D968" s="44"/>
      <c r="E968" s="44"/>
      <c r="F968" s="44"/>
      <c r="G968" s="44"/>
      <c r="H968" s="44"/>
      <c r="I968" s="44"/>
      <c r="J968" s="76"/>
    </row>
    <row r="969" spans="2:10" ht="15">
      <c r="B969" s="76"/>
      <c r="C969" s="76"/>
      <c r="D969" s="44"/>
      <c r="E969" s="44"/>
      <c r="F969" s="44"/>
      <c r="G969" s="44"/>
      <c r="H969" s="44"/>
      <c r="I969" s="44"/>
      <c r="J969" s="76"/>
    </row>
    <row r="970" spans="2:10" ht="15">
      <c r="B970" s="76"/>
      <c r="C970" s="76"/>
      <c r="D970" s="44"/>
      <c r="E970" s="44"/>
      <c r="F970" s="44"/>
      <c r="G970" s="44"/>
      <c r="H970" s="44"/>
      <c r="I970" s="44"/>
      <c r="J970" s="76"/>
    </row>
    <row r="971" spans="2:10" ht="15">
      <c r="B971" s="76"/>
      <c r="C971" s="76"/>
      <c r="D971" s="44"/>
      <c r="E971" s="44"/>
      <c r="F971" s="44"/>
      <c r="G971" s="44"/>
      <c r="H971" s="44"/>
      <c r="I971" s="44"/>
      <c r="J971" s="76"/>
    </row>
    <row r="972" spans="2:10" ht="15">
      <c r="B972" s="76"/>
      <c r="C972" s="76"/>
      <c r="D972" s="44"/>
      <c r="E972" s="44"/>
      <c r="F972" s="44"/>
      <c r="G972" s="44"/>
      <c r="H972" s="44"/>
      <c r="I972" s="44"/>
      <c r="J972" s="76"/>
    </row>
    <row r="973" spans="2:10" ht="15">
      <c r="B973" s="76"/>
      <c r="C973" s="76"/>
      <c r="D973" s="44"/>
      <c r="E973" s="44"/>
      <c r="F973" s="44"/>
      <c r="G973" s="44"/>
      <c r="H973" s="44"/>
      <c r="I973" s="44"/>
      <c r="J973" s="76"/>
    </row>
    <row r="974" spans="2:10" ht="15">
      <c r="B974" s="76"/>
      <c r="C974" s="76"/>
      <c r="D974" s="44"/>
      <c r="E974" s="44"/>
      <c r="F974" s="44"/>
      <c r="G974" s="44"/>
      <c r="H974" s="44"/>
      <c r="I974" s="44"/>
      <c r="J974" s="76"/>
    </row>
    <row r="975" spans="2:10" ht="15">
      <c r="B975" s="76"/>
      <c r="C975" s="76"/>
      <c r="D975" s="44"/>
      <c r="E975" s="44"/>
      <c r="F975" s="44"/>
      <c r="G975" s="44"/>
      <c r="H975" s="44"/>
      <c r="I975" s="44"/>
      <c r="J975" s="76"/>
    </row>
    <row r="976" spans="2:10" ht="15">
      <c r="B976" s="76"/>
      <c r="C976" s="76"/>
      <c r="D976" s="44"/>
      <c r="E976" s="44"/>
      <c r="F976" s="44"/>
      <c r="G976" s="44"/>
      <c r="H976" s="44"/>
      <c r="I976" s="44"/>
      <c r="J976" s="76"/>
    </row>
    <row r="977" spans="2:10" ht="15">
      <c r="B977" s="76"/>
      <c r="C977" s="76"/>
      <c r="D977" s="44"/>
      <c r="E977" s="44"/>
      <c r="F977" s="44"/>
      <c r="G977" s="44"/>
      <c r="H977" s="44"/>
      <c r="I977" s="44"/>
      <c r="J977" s="76"/>
    </row>
    <row r="978" spans="2:10" ht="15">
      <c r="B978" s="76"/>
      <c r="C978" s="76"/>
      <c r="D978" s="44"/>
      <c r="E978" s="44"/>
      <c r="F978" s="44"/>
      <c r="G978" s="44"/>
      <c r="H978" s="44"/>
      <c r="I978" s="44"/>
      <c r="J978" s="76"/>
    </row>
    <row r="979" spans="2:10" ht="15">
      <c r="B979" s="76"/>
      <c r="C979" s="76"/>
      <c r="D979" s="44"/>
      <c r="E979" s="44"/>
      <c r="F979" s="44"/>
      <c r="G979" s="44"/>
      <c r="H979" s="44"/>
      <c r="I979" s="44"/>
      <c r="J979" s="76"/>
    </row>
    <row r="980" spans="2:10" ht="15">
      <c r="B980" s="76"/>
      <c r="C980" s="76"/>
      <c r="D980" s="44"/>
      <c r="E980" s="44"/>
      <c r="F980" s="44"/>
      <c r="G980" s="44"/>
      <c r="H980" s="44"/>
      <c r="I980" s="44"/>
      <c r="J980" s="76"/>
    </row>
    <row r="981" spans="2:10" ht="15">
      <c r="B981" s="76"/>
      <c r="C981" s="76"/>
      <c r="D981" s="44"/>
      <c r="E981" s="44"/>
      <c r="F981" s="44"/>
      <c r="G981" s="44"/>
      <c r="H981" s="44"/>
      <c r="I981" s="44"/>
      <c r="J981" s="76"/>
    </row>
    <row r="982" spans="2:10" ht="15">
      <c r="B982" s="76"/>
      <c r="C982" s="76"/>
      <c r="D982" s="44"/>
      <c r="E982" s="44"/>
      <c r="F982" s="44"/>
      <c r="G982" s="44"/>
      <c r="H982" s="44"/>
      <c r="I982" s="44"/>
      <c r="J982" s="76"/>
    </row>
    <row r="983" spans="2:10" ht="15">
      <c r="B983" s="76"/>
      <c r="C983" s="76"/>
      <c r="D983" s="44"/>
      <c r="E983" s="44"/>
      <c r="F983" s="44"/>
      <c r="G983" s="44"/>
      <c r="H983" s="44"/>
      <c r="I983" s="44"/>
      <c r="J983" s="76"/>
    </row>
    <row r="984" spans="2:10" ht="15">
      <c r="B984" s="76"/>
      <c r="C984" s="76"/>
      <c r="D984" s="44"/>
      <c r="E984" s="44"/>
      <c r="F984" s="44"/>
      <c r="G984" s="44"/>
      <c r="H984" s="44"/>
      <c r="I984" s="44"/>
      <c r="J984" s="76"/>
    </row>
    <row r="985" spans="2:10" ht="15">
      <c r="B985" s="76"/>
      <c r="C985" s="76"/>
      <c r="D985" s="44"/>
      <c r="E985" s="44"/>
      <c r="F985" s="44"/>
      <c r="G985" s="44"/>
      <c r="H985" s="44"/>
      <c r="I985" s="44"/>
      <c r="J985" s="76"/>
    </row>
    <row r="986" spans="2:10" ht="15">
      <c r="B986" s="76"/>
      <c r="C986" s="76"/>
      <c r="D986" s="44"/>
      <c r="E986" s="44"/>
      <c r="F986" s="44"/>
      <c r="G986" s="44"/>
      <c r="H986" s="44"/>
      <c r="I986" s="44"/>
      <c r="J986" s="76"/>
    </row>
    <row r="987" spans="2:10" ht="15">
      <c r="B987" s="76"/>
      <c r="C987" s="76"/>
      <c r="D987" s="44"/>
      <c r="E987" s="44"/>
      <c r="F987" s="44"/>
      <c r="G987" s="44"/>
      <c r="H987" s="44"/>
      <c r="I987" s="44"/>
      <c r="J987" s="76"/>
    </row>
    <row r="988" spans="2:10" ht="15">
      <c r="B988" s="76"/>
      <c r="C988" s="76"/>
      <c r="D988" s="44"/>
      <c r="E988" s="44"/>
      <c r="F988" s="44"/>
      <c r="G988" s="44"/>
      <c r="H988" s="44"/>
      <c r="I988" s="44"/>
      <c r="J988" s="76"/>
    </row>
    <row r="989" spans="2:10" ht="15">
      <c r="B989" s="76"/>
      <c r="C989" s="76"/>
      <c r="D989" s="44"/>
      <c r="E989" s="44"/>
      <c r="F989" s="44"/>
      <c r="G989" s="44"/>
      <c r="H989" s="44"/>
      <c r="I989" s="44"/>
      <c r="J989" s="76"/>
    </row>
    <row r="990" spans="2:10" ht="15">
      <c r="B990" s="76"/>
      <c r="C990" s="76"/>
      <c r="D990" s="44"/>
      <c r="E990" s="44"/>
      <c r="F990" s="44"/>
      <c r="G990" s="44"/>
      <c r="H990" s="44"/>
      <c r="I990" s="44"/>
      <c r="J990" s="76"/>
    </row>
    <row r="991" spans="2:10" ht="15">
      <c r="B991" s="76"/>
      <c r="C991" s="76"/>
      <c r="D991" s="44"/>
      <c r="E991" s="44"/>
      <c r="F991" s="44"/>
      <c r="G991" s="44"/>
      <c r="H991" s="44"/>
      <c r="I991" s="44"/>
      <c r="J991" s="76"/>
    </row>
    <row r="992" spans="2:10" ht="15">
      <c r="B992" s="76"/>
      <c r="C992" s="76"/>
      <c r="D992" s="44"/>
      <c r="E992" s="44"/>
      <c r="F992" s="44"/>
      <c r="G992" s="44"/>
      <c r="H992" s="44"/>
      <c r="I992" s="44"/>
      <c r="J992" s="76"/>
    </row>
    <row r="993" spans="2:10" ht="15">
      <c r="B993" s="76"/>
      <c r="C993" s="76"/>
      <c r="D993" s="44"/>
      <c r="E993" s="44"/>
      <c r="F993" s="44"/>
      <c r="G993" s="44"/>
      <c r="H993" s="44"/>
      <c r="I993" s="44"/>
      <c r="J993" s="76"/>
    </row>
    <row r="994" spans="2:10" ht="15">
      <c r="B994" s="76"/>
      <c r="C994" s="76"/>
      <c r="D994" s="44"/>
      <c r="E994" s="44"/>
      <c r="F994" s="44"/>
      <c r="G994" s="44"/>
      <c r="H994" s="44"/>
      <c r="I994" s="44"/>
      <c r="J994" s="76"/>
    </row>
    <row r="995" spans="2:10" ht="15">
      <c r="B995" s="76"/>
      <c r="C995" s="76"/>
      <c r="D995" s="44"/>
      <c r="E995" s="44"/>
      <c r="F995" s="44"/>
      <c r="G995" s="44"/>
      <c r="H995" s="44"/>
      <c r="I995" s="44"/>
      <c r="J995" s="76"/>
    </row>
    <row r="996" spans="2:10" ht="15">
      <c r="B996" s="76"/>
      <c r="C996" s="76"/>
      <c r="D996" s="44"/>
      <c r="E996" s="44"/>
      <c r="F996" s="44"/>
      <c r="G996" s="44"/>
      <c r="H996" s="44"/>
      <c r="I996" s="44"/>
      <c r="J996" s="76"/>
    </row>
    <row r="997" spans="2:10" ht="15">
      <c r="B997" s="76"/>
      <c r="C997" s="76"/>
      <c r="D997" s="44"/>
      <c r="E997" s="44"/>
      <c r="F997" s="44"/>
      <c r="G997" s="44"/>
      <c r="H997" s="44"/>
      <c r="I997" s="44"/>
      <c r="J997" s="76"/>
    </row>
    <row r="998" spans="2:10" ht="15">
      <c r="B998" s="76"/>
      <c r="C998" s="76"/>
      <c r="D998" s="44"/>
      <c r="E998" s="44"/>
      <c r="F998" s="44"/>
      <c r="G998" s="44"/>
      <c r="H998" s="44"/>
      <c r="I998" s="44"/>
      <c r="J998" s="76"/>
    </row>
    <row r="999" spans="2:10" ht="15">
      <c r="B999" s="76"/>
      <c r="C999" s="76"/>
      <c r="D999" s="44"/>
      <c r="E999" s="44"/>
      <c r="F999" s="44"/>
      <c r="G999" s="44"/>
      <c r="H999" s="44"/>
      <c r="I999" s="44"/>
      <c r="J999" s="76"/>
    </row>
    <row r="1000" spans="2:10" ht="15">
      <c r="B1000" s="76"/>
      <c r="C1000" s="76"/>
      <c r="D1000" s="44"/>
      <c r="E1000" s="44"/>
      <c r="F1000" s="44"/>
      <c r="G1000" s="44"/>
      <c r="H1000" s="44"/>
      <c r="I1000" s="44"/>
      <c r="J1000" s="76"/>
    </row>
    <row r="1001" spans="2:10" ht="15">
      <c r="B1001" s="76"/>
      <c r="C1001" s="76"/>
      <c r="D1001" s="44"/>
      <c r="E1001" s="44"/>
      <c r="F1001" s="44"/>
      <c r="G1001" s="44"/>
      <c r="H1001" s="44"/>
      <c r="I1001" s="44"/>
      <c r="J1001" s="76"/>
    </row>
    <row r="1002" spans="2:10" ht="15">
      <c r="B1002" s="76"/>
      <c r="C1002" s="76"/>
      <c r="D1002" s="44"/>
      <c r="E1002" s="44"/>
      <c r="F1002" s="44"/>
      <c r="G1002" s="44"/>
      <c r="H1002" s="44"/>
      <c r="I1002" s="44"/>
      <c r="J1002" s="76"/>
    </row>
    <row r="1003" spans="2:10" ht="15">
      <c r="B1003" s="76"/>
      <c r="C1003" s="76"/>
      <c r="D1003" s="44"/>
      <c r="E1003" s="44"/>
      <c r="F1003" s="44"/>
      <c r="G1003" s="44"/>
      <c r="H1003" s="44"/>
      <c r="I1003" s="44"/>
      <c r="J1003" s="76"/>
    </row>
    <row r="1004" spans="2:10" ht="15">
      <c r="B1004" s="76"/>
      <c r="C1004" s="76"/>
      <c r="D1004" s="44"/>
      <c r="E1004" s="44"/>
      <c r="F1004" s="44"/>
      <c r="G1004" s="44"/>
      <c r="H1004" s="44"/>
      <c r="I1004" s="44"/>
      <c r="J1004" s="76"/>
    </row>
    <row r="1005" spans="2:10" ht="15">
      <c r="B1005" s="76"/>
      <c r="C1005" s="76"/>
      <c r="D1005" s="44"/>
      <c r="E1005" s="44"/>
      <c r="F1005" s="44"/>
      <c r="G1005" s="44"/>
      <c r="H1005" s="44"/>
      <c r="I1005" s="44"/>
      <c r="J1005" s="76"/>
    </row>
    <row r="1006" spans="2:10" ht="15">
      <c r="B1006" s="76"/>
      <c r="C1006" s="76"/>
      <c r="D1006" s="44"/>
      <c r="E1006" s="44"/>
      <c r="F1006" s="44"/>
      <c r="G1006" s="44"/>
      <c r="H1006" s="44"/>
      <c r="I1006" s="44"/>
      <c r="J1006" s="76"/>
    </row>
    <row r="1007" spans="2:10" ht="15">
      <c r="B1007" s="76"/>
      <c r="C1007" s="76"/>
      <c r="D1007" s="44"/>
      <c r="E1007" s="44"/>
      <c r="F1007" s="44"/>
      <c r="G1007" s="44"/>
      <c r="H1007" s="44"/>
      <c r="I1007" s="44"/>
      <c r="J1007" s="76"/>
    </row>
    <row r="1008" spans="2:10" ht="15">
      <c r="B1008" s="76"/>
      <c r="C1008" s="76"/>
      <c r="D1008" s="44"/>
      <c r="E1008" s="44"/>
      <c r="F1008" s="44"/>
      <c r="G1008" s="44"/>
      <c r="H1008" s="44"/>
      <c r="I1008" s="44"/>
      <c r="J1008" s="76"/>
    </row>
    <row r="1009" spans="2:10" ht="15">
      <c r="B1009" s="76"/>
      <c r="C1009" s="76"/>
      <c r="D1009" s="44"/>
      <c r="E1009" s="44"/>
      <c r="F1009" s="44"/>
      <c r="G1009" s="44"/>
      <c r="H1009" s="44"/>
      <c r="I1009" s="44"/>
      <c r="J1009" s="76"/>
    </row>
    <row r="1010" spans="2:10" ht="15">
      <c r="B1010" s="76"/>
      <c r="C1010" s="76"/>
      <c r="D1010" s="44"/>
      <c r="E1010" s="44"/>
      <c r="F1010" s="44"/>
      <c r="G1010" s="44"/>
      <c r="H1010" s="44"/>
      <c r="I1010" s="44"/>
      <c r="J1010" s="76"/>
    </row>
    <row r="1011" spans="2:10" ht="15">
      <c r="B1011" s="76"/>
      <c r="C1011" s="76"/>
      <c r="D1011" s="44"/>
      <c r="E1011" s="44"/>
      <c r="F1011" s="44"/>
      <c r="G1011" s="44"/>
      <c r="H1011" s="44"/>
      <c r="I1011" s="44"/>
      <c r="J1011" s="76"/>
    </row>
    <row r="1012" spans="2:10" ht="15">
      <c r="B1012" s="76"/>
      <c r="C1012" s="76"/>
      <c r="D1012" s="44"/>
      <c r="E1012" s="44"/>
      <c r="F1012" s="44"/>
      <c r="G1012" s="44"/>
      <c r="H1012" s="44"/>
      <c r="I1012" s="44"/>
      <c r="J1012" s="76"/>
    </row>
    <row r="1013" spans="2:10" ht="15">
      <c r="B1013" s="76"/>
      <c r="C1013" s="76"/>
      <c r="D1013" s="44"/>
      <c r="E1013" s="44"/>
      <c r="F1013" s="44"/>
      <c r="G1013" s="44"/>
      <c r="H1013" s="44"/>
      <c r="I1013" s="44"/>
      <c r="J1013" s="76"/>
    </row>
    <row r="1014" spans="2:10" ht="15">
      <c r="B1014" s="76"/>
      <c r="C1014" s="76"/>
      <c r="D1014" s="44"/>
      <c r="E1014" s="44"/>
      <c r="F1014" s="44"/>
      <c r="G1014" s="44"/>
      <c r="H1014" s="44"/>
      <c r="I1014" s="44"/>
      <c r="J1014" s="76"/>
    </row>
    <row r="1015" spans="2:10" ht="15">
      <c r="B1015" s="76"/>
      <c r="C1015" s="76"/>
      <c r="D1015" s="44"/>
      <c r="E1015" s="44"/>
      <c r="F1015" s="44"/>
      <c r="G1015" s="44"/>
      <c r="H1015" s="44"/>
      <c r="I1015" s="44"/>
      <c r="J1015" s="76"/>
    </row>
    <row r="1016" spans="2:10" ht="15">
      <c r="B1016" s="76"/>
      <c r="C1016" s="76"/>
      <c r="D1016" s="44"/>
      <c r="E1016" s="44"/>
      <c r="F1016" s="44"/>
      <c r="G1016" s="44"/>
      <c r="H1016" s="44"/>
      <c r="I1016" s="44"/>
      <c r="J1016" s="76"/>
    </row>
    <row r="1017" spans="2:10" ht="15">
      <c r="B1017" s="76"/>
      <c r="C1017" s="76"/>
      <c r="D1017" s="44"/>
      <c r="E1017" s="44"/>
      <c r="F1017" s="44"/>
      <c r="G1017" s="44"/>
      <c r="H1017" s="44"/>
      <c r="I1017" s="44"/>
      <c r="J1017" s="76"/>
    </row>
    <row r="1018" spans="2:10" ht="15">
      <c r="B1018" s="76"/>
      <c r="C1018" s="76"/>
      <c r="D1018" s="44"/>
      <c r="E1018" s="44"/>
      <c r="F1018" s="44"/>
      <c r="G1018" s="44"/>
      <c r="H1018" s="44"/>
      <c r="I1018" s="44"/>
      <c r="J1018" s="76"/>
    </row>
    <row r="1019" spans="2:10" ht="15">
      <c r="B1019" s="76"/>
      <c r="C1019" s="76"/>
      <c r="D1019" s="44"/>
      <c r="E1019" s="44"/>
      <c r="F1019" s="44"/>
      <c r="G1019" s="44"/>
      <c r="H1019" s="44"/>
      <c r="I1019" s="44"/>
      <c r="J1019" s="76"/>
    </row>
    <row r="1020" spans="2:10" ht="15">
      <c r="B1020" s="76"/>
      <c r="C1020" s="76"/>
      <c r="D1020" s="44"/>
      <c r="E1020" s="44"/>
      <c r="F1020" s="44"/>
      <c r="G1020" s="44"/>
      <c r="H1020" s="44"/>
      <c r="I1020" s="44"/>
      <c r="J1020" s="76"/>
    </row>
    <row r="1021" spans="2:10" ht="15">
      <c r="B1021" s="76"/>
      <c r="C1021" s="76"/>
      <c r="D1021" s="44"/>
      <c r="E1021" s="44"/>
      <c r="F1021" s="44"/>
      <c r="G1021" s="44"/>
      <c r="H1021" s="44"/>
      <c r="I1021" s="44"/>
      <c r="J1021" s="76"/>
    </row>
    <row r="1022" spans="2:10" ht="15">
      <c r="B1022" s="76"/>
      <c r="C1022" s="76"/>
      <c r="D1022" s="44"/>
      <c r="E1022" s="44"/>
      <c r="F1022" s="44"/>
      <c r="G1022" s="44"/>
      <c r="H1022" s="44"/>
      <c r="I1022" s="44"/>
      <c r="J1022" s="76"/>
    </row>
    <row r="1023" spans="2:10" ht="15">
      <c r="B1023" s="76"/>
      <c r="C1023" s="76"/>
      <c r="D1023" s="44"/>
      <c r="E1023" s="44"/>
      <c r="F1023" s="44"/>
      <c r="G1023" s="44"/>
      <c r="H1023" s="44"/>
      <c r="I1023" s="44"/>
      <c r="J1023" s="76"/>
    </row>
    <row r="1024" spans="2:10" ht="15">
      <c r="B1024" s="76"/>
      <c r="C1024" s="76"/>
      <c r="D1024" s="44"/>
      <c r="E1024" s="44"/>
      <c r="F1024" s="44"/>
      <c r="G1024" s="44"/>
      <c r="H1024" s="44"/>
      <c r="I1024" s="44"/>
      <c r="J1024" s="76"/>
    </row>
    <row r="1025" spans="2:10" ht="15">
      <c r="B1025" s="76"/>
      <c r="C1025" s="76"/>
      <c r="D1025" s="44"/>
      <c r="E1025" s="44"/>
      <c r="F1025" s="44"/>
      <c r="G1025" s="44"/>
      <c r="H1025" s="44"/>
      <c r="I1025" s="44"/>
      <c r="J1025" s="76"/>
    </row>
    <row r="1026" spans="2:10" ht="15">
      <c r="B1026" s="76"/>
      <c r="C1026" s="76"/>
      <c r="D1026" s="44"/>
      <c r="E1026" s="44"/>
      <c r="F1026" s="44"/>
      <c r="G1026" s="44"/>
      <c r="H1026" s="44"/>
      <c r="I1026" s="44"/>
      <c r="J1026" s="76"/>
    </row>
    <row r="1027" spans="2:10" ht="15">
      <c r="B1027" s="76"/>
      <c r="C1027" s="76"/>
      <c r="D1027" s="44"/>
      <c r="E1027" s="44"/>
      <c r="F1027" s="44"/>
      <c r="G1027" s="44"/>
      <c r="H1027" s="44"/>
      <c r="I1027" s="44"/>
      <c r="J1027" s="76"/>
    </row>
    <row r="1028" spans="2:10" ht="15">
      <c r="B1028" s="76"/>
      <c r="C1028" s="76"/>
      <c r="D1028" s="44"/>
      <c r="E1028" s="44"/>
      <c r="F1028" s="44"/>
      <c r="G1028" s="44"/>
      <c r="H1028" s="44"/>
      <c r="I1028" s="44"/>
      <c r="J1028" s="76"/>
    </row>
    <row r="1029" spans="2:10" ht="15">
      <c r="B1029" s="76"/>
      <c r="C1029" s="76"/>
      <c r="D1029" s="44"/>
      <c r="E1029" s="44"/>
      <c r="F1029" s="44"/>
      <c r="G1029" s="44"/>
      <c r="H1029" s="44"/>
      <c r="I1029" s="44"/>
      <c r="J1029" s="76"/>
    </row>
    <row r="1030" spans="2:10" ht="15">
      <c r="B1030" s="76"/>
      <c r="C1030" s="76"/>
      <c r="D1030" s="44"/>
      <c r="E1030" s="44"/>
      <c r="F1030" s="44"/>
      <c r="G1030" s="44"/>
      <c r="H1030" s="44"/>
      <c r="I1030" s="44"/>
      <c r="J1030" s="76"/>
    </row>
    <row r="1031" spans="2:10" ht="15">
      <c r="B1031" s="76"/>
      <c r="C1031" s="76"/>
      <c r="D1031" s="44"/>
      <c r="E1031" s="44"/>
      <c r="F1031" s="44"/>
      <c r="G1031" s="44"/>
      <c r="H1031" s="44"/>
      <c r="I1031" s="44"/>
      <c r="J1031" s="76"/>
    </row>
    <row r="1032" spans="2:10" ht="15">
      <c r="B1032" s="76"/>
      <c r="C1032" s="76"/>
      <c r="D1032" s="44"/>
      <c r="E1032" s="44"/>
      <c r="F1032" s="44"/>
      <c r="G1032" s="44"/>
      <c r="H1032" s="44"/>
      <c r="I1032" s="44"/>
      <c r="J1032" s="76"/>
    </row>
    <row r="1033" spans="2:10" ht="15">
      <c r="B1033" s="76"/>
      <c r="C1033" s="76"/>
      <c r="D1033" s="44"/>
      <c r="E1033" s="44"/>
      <c r="F1033" s="44"/>
      <c r="G1033" s="44"/>
      <c r="H1033" s="44"/>
      <c r="I1033" s="44"/>
      <c r="J1033" s="76"/>
    </row>
    <row r="1034" spans="2:10" ht="15">
      <c r="B1034" s="76"/>
      <c r="C1034" s="76"/>
      <c r="D1034" s="44"/>
      <c r="E1034" s="44"/>
      <c r="F1034" s="44"/>
      <c r="G1034" s="44"/>
      <c r="H1034" s="44"/>
      <c r="I1034" s="44"/>
      <c r="J1034" s="76"/>
    </row>
    <row r="1035" spans="2:10" ht="15">
      <c r="B1035" s="76"/>
      <c r="C1035" s="76"/>
      <c r="D1035" s="44"/>
      <c r="E1035" s="44"/>
      <c r="F1035" s="44"/>
      <c r="G1035" s="44"/>
      <c r="H1035" s="44"/>
      <c r="I1035" s="44"/>
      <c r="J1035" s="76"/>
    </row>
    <row r="1036" spans="2:10" ht="15">
      <c r="B1036" s="76"/>
      <c r="C1036" s="76"/>
      <c r="D1036" s="44"/>
      <c r="E1036" s="44"/>
      <c r="F1036" s="44"/>
      <c r="G1036" s="44"/>
      <c r="H1036" s="44"/>
      <c r="I1036" s="44"/>
      <c r="J1036" s="76"/>
    </row>
    <row r="1037" spans="2:10" ht="15">
      <c r="B1037" s="76"/>
      <c r="C1037" s="76"/>
      <c r="D1037" s="44"/>
      <c r="E1037" s="44"/>
      <c r="F1037" s="44"/>
      <c r="G1037" s="44"/>
      <c r="H1037" s="44"/>
      <c r="I1037" s="44"/>
      <c r="J1037" s="76"/>
    </row>
    <row r="1038" spans="2:10" ht="15">
      <c r="B1038" s="76"/>
      <c r="C1038" s="76"/>
      <c r="D1038" s="44"/>
      <c r="E1038" s="44"/>
      <c r="F1038" s="44"/>
      <c r="G1038" s="44"/>
      <c r="H1038" s="44"/>
      <c r="I1038" s="44"/>
      <c r="J1038" s="76"/>
    </row>
    <row r="1039" spans="2:10" ht="15">
      <c r="B1039" s="76"/>
      <c r="C1039" s="76"/>
      <c r="D1039" s="44"/>
      <c r="E1039" s="44"/>
      <c r="F1039" s="44"/>
      <c r="G1039" s="44"/>
      <c r="H1039" s="44"/>
      <c r="I1039" s="44"/>
      <c r="J1039" s="76"/>
    </row>
    <row r="1040" spans="2:10" ht="15">
      <c r="B1040" s="76"/>
      <c r="C1040" s="76"/>
      <c r="D1040" s="44"/>
      <c r="E1040" s="44"/>
      <c r="F1040" s="44"/>
      <c r="G1040" s="44"/>
      <c r="H1040" s="44"/>
      <c r="I1040" s="44"/>
      <c r="J1040" s="76"/>
    </row>
    <row r="1041" spans="2:10" ht="15">
      <c r="B1041" s="76"/>
      <c r="C1041" s="76"/>
      <c r="D1041" s="44"/>
      <c r="E1041" s="44"/>
      <c r="F1041" s="44"/>
      <c r="G1041" s="44"/>
      <c r="H1041" s="44"/>
      <c r="I1041" s="44"/>
      <c r="J1041" s="76"/>
    </row>
    <row r="1042" spans="2:10" ht="15">
      <c r="B1042" s="76"/>
      <c r="C1042" s="76"/>
      <c r="D1042" s="44"/>
      <c r="E1042" s="44"/>
      <c r="F1042" s="44"/>
      <c r="G1042" s="44"/>
      <c r="H1042" s="44"/>
      <c r="I1042" s="44"/>
      <c r="J1042" s="76"/>
    </row>
    <row r="1043" spans="2:10" ht="15">
      <c r="B1043" s="76"/>
      <c r="C1043" s="76"/>
      <c r="D1043" s="44"/>
      <c r="E1043" s="44"/>
      <c r="F1043" s="44"/>
      <c r="G1043" s="44"/>
      <c r="H1043" s="44"/>
      <c r="I1043" s="44"/>
      <c r="J1043" s="76"/>
    </row>
    <row r="1044" spans="2:10" ht="15">
      <c r="B1044" s="76"/>
      <c r="C1044" s="76"/>
      <c r="D1044" s="44"/>
      <c r="E1044" s="44"/>
      <c r="F1044" s="44"/>
      <c r="G1044" s="44"/>
      <c r="H1044" s="44"/>
      <c r="I1044" s="44"/>
      <c r="J1044" s="76"/>
    </row>
    <row r="1045" spans="2:10" ht="15">
      <c r="B1045" s="76"/>
      <c r="C1045" s="76"/>
      <c r="D1045" s="44"/>
      <c r="E1045" s="44"/>
      <c r="F1045" s="44"/>
      <c r="G1045" s="44"/>
      <c r="H1045" s="44"/>
      <c r="I1045" s="44"/>
      <c r="J1045" s="76"/>
    </row>
    <row r="1046" spans="2:10" ht="15">
      <c r="B1046" s="76"/>
      <c r="C1046" s="76"/>
      <c r="D1046" s="44"/>
      <c r="E1046" s="44"/>
      <c r="F1046" s="44"/>
      <c r="G1046" s="44"/>
      <c r="H1046" s="44"/>
      <c r="I1046" s="44"/>
      <c r="J1046" s="76"/>
    </row>
    <row r="1047" spans="2:10" ht="15">
      <c r="B1047" s="76"/>
      <c r="C1047" s="76"/>
      <c r="D1047" s="44"/>
      <c r="E1047" s="44"/>
      <c r="F1047" s="44"/>
      <c r="G1047" s="44"/>
      <c r="H1047" s="44"/>
      <c r="I1047" s="44"/>
      <c r="J1047" s="76"/>
    </row>
    <row r="1048" spans="2:10" ht="15">
      <c r="B1048" s="76"/>
      <c r="C1048" s="76"/>
      <c r="D1048" s="44"/>
      <c r="E1048" s="44"/>
      <c r="F1048" s="44"/>
      <c r="G1048" s="44"/>
      <c r="H1048" s="44"/>
      <c r="I1048" s="44"/>
      <c r="J1048" s="76"/>
    </row>
    <row r="1049" spans="2:10" ht="15">
      <c r="B1049" s="76"/>
      <c r="C1049" s="76"/>
      <c r="D1049" s="44"/>
      <c r="E1049" s="44"/>
      <c r="F1049" s="44"/>
      <c r="G1049" s="44"/>
      <c r="H1049" s="44"/>
      <c r="I1049" s="44"/>
      <c r="J1049" s="76"/>
    </row>
    <row r="1050" spans="2:10" ht="15">
      <c r="B1050" s="76"/>
      <c r="C1050" s="76"/>
      <c r="D1050" s="44"/>
      <c r="E1050" s="44"/>
      <c r="F1050" s="44"/>
      <c r="G1050" s="44"/>
      <c r="H1050" s="44"/>
      <c r="I1050" s="44"/>
      <c r="J1050" s="76"/>
    </row>
    <row r="1051" spans="2:10" ht="15">
      <c r="B1051" s="76"/>
      <c r="C1051" s="76"/>
      <c r="D1051" s="44"/>
      <c r="E1051" s="44"/>
      <c r="F1051" s="44"/>
      <c r="G1051" s="44"/>
      <c r="H1051" s="44"/>
      <c r="I1051" s="44"/>
      <c r="J1051" s="76"/>
    </row>
    <row r="1052" spans="2:10" ht="15">
      <c r="B1052" s="76"/>
      <c r="C1052" s="76"/>
      <c r="D1052" s="44"/>
      <c r="E1052" s="44"/>
      <c r="F1052" s="44"/>
      <c r="G1052" s="44"/>
      <c r="H1052" s="44"/>
      <c r="I1052" s="44"/>
      <c r="J1052" s="76"/>
    </row>
    <row r="1053" spans="2:10" ht="15">
      <c r="B1053" s="76"/>
      <c r="C1053" s="76"/>
      <c r="D1053" s="44"/>
      <c r="E1053" s="44"/>
      <c r="F1053" s="44"/>
      <c r="G1053" s="44"/>
      <c r="H1053" s="44"/>
      <c r="I1053" s="44"/>
      <c r="J1053" s="76"/>
    </row>
    <row r="1054" spans="2:10" ht="15">
      <c r="B1054" s="76"/>
      <c r="C1054" s="76"/>
      <c r="D1054" s="44"/>
      <c r="E1054" s="44"/>
      <c r="F1054" s="44"/>
      <c r="G1054" s="44"/>
      <c r="H1054" s="44"/>
      <c r="I1054" s="44"/>
      <c r="J1054" s="76"/>
    </row>
    <row r="1055" spans="2:10" ht="15">
      <c r="B1055" s="76"/>
      <c r="C1055" s="76"/>
      <c r="D1055" s="44"/>
      <c r="E1055" s="44"/>
      <c r="F1055" s="44"/>
      <c r="G1055" s="44"/>
      <c r="H1055" s="44"/>
      <c r="I1055" s="44"/>
      <c r="J1055" s="76"/>
    </row>
    <row r="1056" spans="2:10" ht="15">
      <c r="B1056" s="76"/>
      <c r="C1056" s="76"/>
      <c r="D1056" s="44"/>
      <c r="E1056" s="44"/>
      <c r="F1056" s="44"/>
      <c r="G1056" s="44"/>
      <c r="H1056" s="44"/>
      <c r="I1056" s="44"/>
      <c r="J1056" s="76"/>
    </row>
    <row r="1057" spans="2:10" ht="15">
      <c r="B1057" s="76"/>
      <c r="C1057" s="76"/>
      <c r="D1057" s="44"/>
      <c r="E1057" s="44"/>
      <c r="F1057" s="44"/>
      <c r="G1057" s="44"/>
      <c r="H1057" s="44"/>
      <c r="I1057" s="44"/>
      <c r="J1057" s="76"/>
    </row>
    <row r="1058" spans="2:10" ht="15">
      <c r="B1058" s="76"/>
      <c r="C1058" s="76"/>
      <c r="D1058" s="44"/>
      <c r="E1058" s="44"/>
      <c r="F1058" s="44"/>
      <c r="G1058" s="44"/>
      <c r="H1058" s="44"/>
      <c r="I1058" s="44"/>
      <c r="J1058" s="76"/>
    </row>
    <row r="1059" spans="2:10" ht="15">
      <c r="B1059" s="76"/>
      <c r="C1059" s="76"/>
      <c r="D1059" s="44"/>
      <c r="E1059" s="44"/>
      <c r="F1059" s="44"/>
      <c r="G1059" s="44"/>
      <c r="H1059" s="44"/>
      <c r="I1059" s="44"/>
      <c r="J1059" s="76"/>
    </row>
    <row r="1060" spans="2:10" ht="15">
      <c r="B1060" s="76"/>
      <c r="C1060" s="76"/>
      <c r="D1060" s="44"/>
      <c r="E1060" s="44"/>
      <c r="F1060" s="44"/>
      <c r="G1060" s="44"/>
      <c r="H1060" s="44"/>
      <c r="I1060" s="44"/>
      <c r="J1060" s="76"/>
    </row>
    <row r="1061" spans="2:10" ht="15">
      <c r="B1061" s="76"/>
      <c r="C1061" s="76"/>
      <c r="D1061" s="44"/>
      <c r="E1061" s="44"/>
      <c r="F1061" s="44"/>
      <c r="G1061" s="44"/>
      <c r="H1061" s="44"/>
      <c r="I1061" s="44"/>
      <c r="J1061" s="76"/>
    </row>
    <row r="1062" spans="2:10" ht="15">
      <c r="B1062" s="76"/>
      <c r="C1062" s="76"/>
      <c r="D1062" s="44"/>
      <c r="E1062" s="44"/>
      <c r="F1062" s="44"/>
      <c r="G1062" s="44"/>
      <c r="H1062" s="44"/>
      <c r="I1062" s="44"/>
      <c r="J1062" s="76"/>
    </row>
    <row r="1063" spans="2:10" ht="15">
      <c r="B1063" s="76"/>
      <c r="C1063" s="76"/>
      <c r="D1063" s="44"/>
      <c r="E1063" s="44"/>
      <c r="F1063" s="44"/>
      <c r="G1063" s="44"/>
      <c r="H1063" s="44"/>
      <c r="I1063" s="44"/>
      <c r="J1063" s="76"/>
    </row>
    <row r="1064" spans="2:10" ht="15">
      <c r="B1064" s="76"/>
      <c r="C1064" s="76"/>
      <c r="D1064" s="44"/>
      <c r="E1064" s="44"/>
      <c r="F1064" s="44"/>
      <c r="G1064" s="44"/>
      <c r="H1064" s="44"/>
      <c r="I1064" s="44"/>
      <c r="J1064" s="76"/>
    </row>
    <row r="1065" spans="2:10" ht="15">
      <c r="B1065" s="76"/>
      <c r="C1065" s="76"/>
      <c r="D1065" s="44"/>
      <c r="E1065" s="44"/>
      <c r="F1065" s="44"/>
      <c r="G1065" s="44"/>
      <c r="H1065" s="44"/>
      <c r="I1065" s="44"/>
      <c r="J1065" s="76"/>
    </row>
    <row r="1066" spans="2:10" ht="15">
      <c r="B1066" s="76"/>
      <c r="C1066" s="76"/>
      <c r="D1066" s="44"/>
      <c r="E1066" s="44"/>
      <c r="F1066" s="44"/>
      <c r="G1066" s="44"/>
      <c r="H1066" s="44"/>
      <c r="I1066" s="44"/>
      <c r="J1066" s="76"/>
    </row>
    <row r="1067" spans="2:10" ht="15">
      <c r="B1067" s="76"/>
      <c r="C1067" s="76"/>
      <c r="D1067" s="44"/>
      <c r="E1067" s="44"/>
      <c r="F1067" s="44"/>
      <c r="G1067" s="44"/>
      <c r="H1067" s="44"/>
      <c r="I1067" s="44"/>
      <c r="J1067" s="76"/>
    </row>
    <row r="1068" spans="2:10" ht="15">
      <c r="B1068" s="76"/>
      <c r="C1068" s="76"/>
      <c r="D1068" s="44"/>
      <c r="E1068" s="44"/>
      <c r="F1068" s="44"/>
      <c r="G1068" s="44"/>
      <c r="H1068" s="44"/>
      <c r="I1068" s="44"/>
      <c r="J1068" s="76"/>
    </row>
    <row r="1069" spans="2:10" ht="15">
      <c r="B1069" s="76"/>
      <c r="C1069" s="76"/>
      <c r="D1069" s="44"/>
      <c r="E1069" s="44"/>
      <c r="F1069" s="44"/>
      <c r="G1069" s="44"/>
      <c r="H1069" s="44"/>
      <c r="I1069" s="44"/>
      <c r="J1069" s="76"/>
    </row>
    <row r="1070" spans="2:10" ht="15">
      <c r="B1070" s="76"/>
      <c r="C1070" s="76"/>
      <c r="D1070" s="44"/>
      <c r="E1070" s="44"/>
      <c r="F1070" s="44"/>
      <c r="G1070" s="44"/>
      <c r="H1070" s="44"/>
      <c r="I1070" s="44"/>
      <c r="J1070" s="76"/>
    </row>
    <row r="1071" spans="2:10" ht="15">
      <c r="B1071" s="76"/>
      <c r="C1071" s="76"/>
      <c r="D1071" s="44"/>
      <c r="E1071" s="44"/>
      <c r="F1071" s="44"/>
      <c r="G1071" s="44"/>
      <c r="H1071" s="44"/>
      <c r="I1071" s="44"/>
      <c r="J1071" s="76"/>
    </row>
    <row r="1072" spans="2:10" ht="15">
      <c r="B1072" s="76"/>
      <c r="C1072" s="76"/>
      <c r="D1072" s="44"/>
      <c r="E1072" s="44"/>
      <c r="F1072" s="44"/>
      <c r="G1072" s="44"/>
      <c r="H1072" s="44"/>
      <c r="I1072" s="44"/>
      <c r="J1072" s="76"/>
    </row>
    <row r="1073" spans="2:10" ht="15">
      <c r="B1073" s="76"/>
      <c r="C1073" s="76"/>
      <c r="D1073" s="44"/>
      <c r="E1073" s="44"/>
      <c r="F1073" s="44"/>
      <c r="G1073" s="44"/>
      <c r="H1073" s="44"/>
      <c r="I1073" s="44"/>
      <c r="J1073" s="76"/>
    </row>
    <row r="1074" spans="2:10" ht="15">
      <c r="B1074" s="76"/>
      <c r="C1074" s="76"/>
      <c r="D1074" s="44"/>
      <c r="E1074" s="44"/>
      <c r="F1074" s="44"/>
      <c r="G1074" s="44"/>
      <c r="H1074" s="44"/>
      <c r="I1074" s="44"/>
      <c r="J1074" s="76"/>
    </row>
    <row r="1075" spans="2:10" ht="15">
      <c r="B1075" s="76"/>
      <c r="C1075" s="76"/>
      <c r="D1075" s="44"/>
      <c r="E1075" s="44"/>
      <c r="F1075" s="44"/>
      <c r="G1075" s="44"/>
      <c r="H1075" s="44"/>
      <c r="I1075" s="44"/>
      <c r="J1075" s="76"/>
    </row>
    <row r="1076" spans="2:10" ht="15">
      <c r="B1076" s="76"/>
      <c r="C1076" s="76"/>
      <c r="D1076" s="44"/>
      <c r="E1076" s="44"/>
      <c r="F1076" s="44"/>
      <c r="G1076" s="44"/>
      <c r="H1076" s="44"/>
      <c r="I1076" s="44"/>
      <c r="J1076" s="76"/>
    </row>
    <row r="1077" spans="2:10" ht="15">
      <c r="B1077" s="76"/>
      <c r="C1077" s="76"/>
      <c r="D1077" s="44"/>
      <c r="E1077" s="44"/>
      <c r="F1077" s="44"/>
      <c r="G1077" s="44"/>
      <c r="H1077" s="44"/>
      <c r="I1077" s="44"/>
      <c r="J1077" s="76"/>
    </row>
    <row r="1078" spans="2:10" ht="15">
      <c r="B1078" s="76"/>
      <c r="C1078" s="76"/>
      <c r="D1078" s="44"/>
      <c r="E1078" s="44"/>
      <c r="F1078" s="44"/>
      <c r="G1078" s="44"/>
      <c r="H1078" s="44"/>
      <c r="I1078" s="44"/>
      <c r="J1078" s="76"/>
    </row>
    <row r="1079" spans="2:10" ht="15">
      <c r="B1079" s="76"/>
      <c r="C1079" s="76"/>
      <c r="D1079" s="44"/>
      <c r="E1079" s="44"/>
      <c r="F1079" s="44"/>
      <c r="G1079" s="44"/>
      <c r="H1079" s="44"/>
      <c r="I1079" s="44"/>
      <c r="J1079" s="76"/>
    </row>
    <row r="1080" spans="2:10" ht="15">
      <c r="B1080" s="76"/>
      <c r="C1080" s="76"/>
      <c r="D1080" s="44"/>
      <c r="E1080" s="44"/>
      <c r="F1080" s="44"/>
      <c r="G1080" s="44"/>
      <c r="H1080" s="44"/>
      <c r="I1080" s="44"/>
      <c r="J1080" s="76"/>
    </row>
    <row r="1081" spans="2:10" ht="15">
      <c r="B1081" s="76"/>
      <c r="C1081" s="76"/>
      <c r="D1081" s="44"/>
      <c r="E1081" s="44"/>
      <c r="F1081" s="44"/>
      <c r="G1081" s="44"/>
      <c r="H1081" s="44"/>
      <c r="I1081" s="44"/>
      <c r="J1081" s="76"/>
    </row>
    <row r="1082" spans="2:10" ht="15">
      <c r="B1082" s="76"/>
      <c r="C1082" s="76"/>
      <c r="D1082" s="44"/>
      <c r="E1082" s="44"/>
      <c r="F1082" s="44"/>
      <c r="G1082" s="44"/>
      <c r="H1082" s="44"/>
      <c r="I1082" s="44"/>
      <c r="J1082" s="76"/>
    </row>
    <row r="1083" spans="2:10" ht="15">
      <c r="B1083" s="76"/>
      <c r="C1083" s="76"/>
      <c r="D1083" s="44"/>
      <c r="E1083" s="44"/>
      <c r="F1083" s="44"/>
      <c r="G1083" s="44"/>
      <c r="H1083" s="44"/>
      <c r="I1083" s="44"/>
      <c r="J1083" s="76"/>
    </row>
    <row r="1084" spans="2:10" ht="15">
      <c r="B1084" s="76"/>
      <c r="C1084" s="76"/>
      <c r="D1084" s="44"/>
      <c r="E1084" s="44"/>
      <c r="F1084" s="44"/>
      <c r="G1084" s="44"/>
      <c r="H1084" s="44"/>
      <c r="I1084" s="44"/>
      <c r="J1084" s="76"/>
    </row>
    <row r="1085" spans="2:10" ht="15">
      <c r="B1085" s="76"/>
      <c r="C1085" s="76"/>
      <c r="D1085" s="44"/>
      <c r="E1085" s="44"/>
      <c r="F1085" s="44"/>
      <c r="G1085" s="44"/>
      <c r="H1085" s="44"/>
      <c r="I1085" s="44"/>
      <c r="J1085" s="76"/>
    </row>
    <row r="1086" spans="2:10" ht="15">
      <c r="B1086" s="76"/>
      <c r="C1086" s="76"/>
      <c r="D1086" s="44"/>
      <c r="E1086" s="44"/>
      <c r="F1086" s="44"/>
      <c r="G1086" s="44"/>
      <c r="H1086" s="44"/>
      <c r="I1086" s="44"/>
      <c r="J1086" s="76"/>
    </row>
    <row r="1087" spans="2:10" ht="15">
      <c r="B1087" s="76"/>
      <c r="C1087" s="76"/>
      <c r="D1087" s="44"/>
      <c r="E1087" s="44"/>
      <c r="F1087" s="44"/>
      <c r="G1087" s="44"/>
      <c r="H1087" s="44"/>
      <c r="I1087" s="44"/>
      <c r="J1087" s="76"/>
    </row>
    <row r="1088" spans="2:10" ht="15">
      <c r="B1088" s="76"/>
      <c r="C1088" s="76"/>
      <c r="D1088" s="44"/>
      <c r="E1088" s="44"/>
      <c r="F1088" s="44"/>
      <c r="G1088" s="44"/>
      <c r="H1088" s="44"/>
      <c r="I1088" s="44"/>
      <c r="J1088" s="76"/>
    </row>
    <row r="1089" spans="2:10" ht="15">
      <c r="B1089" s="76"/>
      <c r="C1089" s="76"/>
      <c r="D1089" s="44"/>
      <c r="E1089" s="44"/>
      <c r="F1089" s="44"/>
      <c r="G1089" s="44"/>
      <c r="H1089" s="44"/>
      <c r="I1089" s="44"/>
      <c r="J1089" s="76"/>
    </row>
    <row r="1090" spans="2:10" ht="15">
      <c r="B1090" s="76"/>
      <c r="C1090" s="76"/>
      <c r="D1090" s="44"/>
      <c r="E1090" s="44"/>
      <c r="F1090" s="44"/>
      <c r="G1090" s="44"/>
      <c r="H1090" s="44"/>
      <c r="I1090" s="44"/>
      <c r="J1090" s="76"/>
    </row>
    <row r="1091" spans="2:10" ht="15">
      <c r="B1091" s="76"/>
      <c r="C1091" s="76"/>
      <c r="D1091" s="44"/>
      <c r="E1091" s="44"/>
      <c r="F1091" s="44"/>
      <c r="G1091" s="44"/>
      <c r="H1091" s="44"/>
      <c r="I1091" s="44"/>
      <c r="J1091" s="76"/>
    </row>
    <row r="1092" spans="2:10" ht="15">
      <c r="B1092" s="76"/>
      <c r="C1092" s="76"/>
      <c r="D1092" s="44"/>
      <c r="E1092" s="44"/>
      <c r="F1092" s="44"/>
      <c r="G1092" s="44"/>
      <c r="H1092" s="44"/>
      <c r="I1092" s="44"/>
      <c r="J1092" s="76"/>
    </row>
    <row r="1093" spans="2:10" ht="15">
      <c r="B1093" s="76"/>
      <c r="C1093" s="76"/>
      <c r="D1093" s="44"/>
      <c r="E1093" s="44"/>
      <c r="F1093" s="44"/>
      <c r="G1093" s="44"/>
      <c r="H1093" s="44"/>
      <c r="I1093" s="44"/>
      <c r="J1093" s="76"/>
    </row>
    <row r="1094" spans="2:10" ht="15">
      <c r="B1094" s="76"/>
      <c r="C1094" s="76"/>
      <c r="D1094" s="44"/>
      <c r="E1094" s="44"/>
      <c r="F1094" s="44"/>
      <c r="G1094" s="44"/>
      <c r="H1094" s="44"/>
      <c r="I1094" s="44"/>
      <c r="J1094" s="76"/>
    </row>
    <row r="1095" spans="2:10" ht="15">
      <c r="B1095" s="76"/>
      <c r="C1095" s="76"/>
      <c r="D1095" s="44"/>
      <c r="E1095" s="44"/>
      <c r="F1095" s="44"/>
      <c r="G1095" s="44"/>
      <c r="H1095" s="44"/>
      <c r="I1095" s="44"/>
      <c r="J1095" s="76"/>
    </row>
    <row r="1096" spans="2:10" ht="15">
      <c r="B1096" s="76"/>
      <c r="C1096" s="76"/>
      <c r="D1096" s="44"/>
      <c r="E1096" s="44"/>
      <c r="F1096" s="44"/>
      <c r="G1096" s="44"/>
      <c r="H1096" s="44"/>
      <c r="I1096" s="44"/>
      <c r="J1096" s="76"/>
    </row>
    <row r="1097" spans="2:10" ht="15">
      <c r="B1097" s="76"/>
      <c r="C1097" s="76"/>
      <c r="D1097" s="44"/>
      <c r="E1097" s="44"/>
      <c r="F1097" s="44"/>
      <c r="G1097" s="44"/>
      <c r="H1097" s="44"/>
      <c r="I1097" s="44"/>
      <c r="J1097" s="76"/>
    </row>
    <row r="1098" spans="2:10" ht="15">
      <c r="B1098" s="76"/>
      <c r="C1098" s="76"/>
      <c r="D1098" s="44"/>
      <c r="E1098" s="44"/>
      <c r="F1098" s="44"/>
      <c r="G1098" s="44"/>
      <c r="H1098" s="44"/>
      <c r="I1098" s="44"/>
      <c r="J1098" s="76"/>
    </row>
    <row r="1099" spans="2:10" ht="15">
      <c r="B1099" s="76"/>
      <c r="C1099" s="76"/>
      <c r="D1099" s="44"/>
      <c r="E1099" s="44"/>
      <c r="F1099" s="44"/>
      <c r="G1099" s="44"/>
      <c r="H1099" s="44"/>
      <c r="I1099" s="44"/>
      <c r="J1099" s="76"/>
    </row>
    <row r="1100" spans="2:10" ht="15">
      <c r="B1100" s="76"/>
      <c r="C1100" s="76"/>
      <c r="D1100" s="44"/>
      <c r="E1100" s="44"/>
      <c r="F1100" s="44"/>
      <c r="G1100" s="44"/>
      <c r="H1100" s="44"/>
      <c r="I1100" s="44"/>
      <c r="J1100" s="76"/>
    </row>
    <row r="1101" spans="2:10" ht="15">
      <c r="B1101" s="76"/>
      <c r="C1101" s="76"/>
      <c r="D1101" s="44"/>
      <c r="E1101" s="44"/>
      <c r="F1101" s="44"/>
      <c r="G1101" s="44"/>
      <c r="H1101" s="44"/>
      <c r="I1101" s="44"/>
      <c r="J1101" s="76"/>
    </row>
    <row r="1102" spans="2:10" ht="15">
      <c r="B1102" s="76"/>
      <c r="C1102" s="76"/>
      <c r="D1102" s="44"/>
      <c r="E1102" s="44"/>
      <c r="F1102" s="44"/>
      <c r="G1102" s="44"/>
      <c r="H1102" s="44"/>
      <c r="I1102" s="44"/>
      <c r="J1102" s="76"/>
    </row>
    <row r="1103" spans="2:10" ht="15">
      <c r="B1103" s="76"/>
      <c r="C1103" s="76"/>
      <c r="D1103" s="44"/>
      <c r="E1103" s="44"/>
      <c r="F1103" s="44"/>
      <c r="G1103" s="44"/>
      <c r="H1103" s="44"/>
      <c r="I1103" s="44"/>
      <c r="J1103" s="76"/>
    </row>
    <row r="1104" spans="2:10" ht="15">
      <c r="B1104" s="76"/>
      <c r="C1104" s="76"/>
      <c r="D1104" s="44"/>
      <c r="E1104" s="44"/>
      <c r="F1104" s="44"/>
      <c r="G1104" s="44"/>
      <c r="H1104" s="44"/>
      <c r="I1104" s="44"/>
      <c r="J1104" s="76"/>
    </row>
    <row r="1105" spans="2:10" ht="15">
      <c r="B1105" s="76"/>
      <c r="C1105" s="76"/>
      <c r="D1105" s="44"/>
      <c r="E1105" s="44"/>
      <c r="F1105" s="44"/>
      <c r="G1105" s="44"/>
      <c r="H1105" s="44"/>
      <c r="I1105" s="44"/>
      <c r="J1105" s="76"/>
    </row>
    <row r="1106" spans="2:10" ht="15">
      <c r="B1106" s="76"/>
      <c r="C1106" s="76"/>
      <c r="D1106" s="44"/>
      <c r="E1106" s="44"/>
      <c r="F1106" s="44"/>
      <c r="G1106" s="44"/>
      <c r="H1106" s="44"/>
      <c r="I1106" s="44"/>
      <c r="J1106" s="76"/>
    </row>
    <row r="1107" spans="2:10" ht="15">
      <c r="B1107" s="76"/>
      <c r="C1107" s="76"/>
      <c r="D1107" s="44"/>
      <c r="E1107" s="44"/>
      <c r="F1107" s="44"/>
      <c r="G1107" s="44"/>
      <c r="H1107" s="44"/>
      <c r="I1107" s="44"/>
      <c r="J1107" s="76"/>
    </row>
    <row r="1108" spans="2:10" ht="15">
      <c r="B1108" s="76"/>
      <c r="C1108" s="76"/>
      <c r="D1108" s="44"/>
      <c r="E1108" s="44"/>
      <c r="F1108" s="44"/>
      <c r="G1108" s="44"/>
      <c r="H1108" s="44"/>
      <c r="I1108" s="44"/>
      <c r="J1108" s="76"/>
    </row>
    <row r="1109" spans="2:10" ht="15">
      <c r="B1109" s="76"/>
      <c r="C1109" s="76"/>
      <c r="D1109" s="44"/>
      <c r="E1109" s="44"/>
      <c r="F1109" s="44"/>
      <c r="G1109" s="44"/>
      <c r="H1109" s="44"/>
      <c r="I1109" s="44"/>
      <c r="J1109" s="76"/>
    </row>
    <row r="1110" spans="2:10" ht="15">
      <c r="B1110" s="76"/>
      <c r="C1110" s="76"/>
      <c r="D1110" s="44"/>
      <c r="E1110" s="44"/>
      <c r="F1110" s="44"/>
      <c r="G1110" s="44"/>
      <c r="H1110" s="44"/>
      <c r="I1110" s="44"/>
      <c r="J1110" s="76"/>
    </row>
    <row r="1111" spans="2:10" ht="15">
      <c r="B1111" s="76"/>
      <c r="C1111" s="76"/>
      <c r="D1111" s="44"/>
      <c r="E1111" s="44"/>
      <c r="F1111" s="44"/>
      <c r="G1111" s="44"/>
      <c r="H1111" s="44"/>
      <c r="I1111" s="44"/>
      <c r="J1111" s="76"/>
    </row>
    <row r="1112" spans="2:10" ht="15">
      <c r="B1112" s="76"/>
      <c r="C1112" s="76"/>
      <c r="D1112" s="44"/>
      <c r="E1112" s="44"/>
      <c r="F1112" s="44"/>
      <c r="G1112" s="44"/>
      <c r="H1112" s="44"/>
      <c r="I1112" s="44"/>
      <c r="J1112" s="76"/>
    </row>
    <row r="1113" spans="2:10" ht="15">
      <c r="B1113" s="76"/>
      <c r="C1113" s="76"/>
      <c r="D1113" s="44"/>
      <c r="E1113" s="44"/>
      <c r="F1113" s="44"/>
      <c r="G1113" s="44"/>
      <c r="H1113" s="44"/>
      <c r="I1113" s="44"/>
      <c r="J1113" s="76"/>
    </row>
    <row r="1114" spans="2:10" ht="15">
      <c r="B1114" s="76"/>
      <c r="C1114" s="76"/>
      <c r="D1114" s="44"/>
      <c r="E1114" s="44"/>
      <c r="F1114" s="44"/>
      <c r="G1114" s="44"/>
      <c r="H1114" s="44"/>
      <c r="I1114" s="44"/>
      <c r="J1114" s="76"/>
    </row>
    <row r="1115" spans="2:10" ht="15">
      <c r="B1115" s="76"/>
      <c r="C1115" s="76"/>
      <c r="D1115" s="44"/>
      <c r="E1115" s="44"/>
      <c r="F1115" s="44"/>
      <c r="G1115" s="44"/>
      <c r="H1115" s="44"/>
      <c r="I1115" s="44"/>
      <c r="J1115" s="76"/>
    </row>
    <row r="1116" spans="2:10" ht="15">
      <c r="B1116" s="76"/>
      <c r="C1116" s="76"/>
      <c r="D1116" s="44"/>
      <c r="E1116" s="44"/>
      <c r="F1116" s="44"/>
      <c r="G1116" s="44"/>
      <c r="H1116" s="44"/>
      <c r="I1116" s="44"/>
      <c r="J1116" s="76"/>
    </row>
    <row r="1117" spans="2:10" ht="15">
      <c r="B1117" s="76"/>
      <c r="C1117" s="76"/>
      <c r="D1117" s="44"/>
      <c r="E1117" s="44"/>
      <c r="F1117" s="44"/>
      <c r="G1117" s="44"/>
      <c r="H1117" s="44"/>
      <c r="I1117" s="44"/>
      <c r="J1117" s="76"/>
    </row>
    <row r="1118" spans="2:10" ht="15">
      <c r="B1118" s="76"/>
      <c r="C1118" s="76"/>
      <c r="D1118" s="44"/>
      <c r="E1118" s="44"/>
      <c r="F1118" s="44"/>
      <c r="G1118" s="44"/>
      <c r="H1118" s="44"/>
      <c r="I1118" s="44"/>
      <c r="J1118" s="76"/>
    </row>
    <row r="1119" spans="2:10" ht="15">
      <c r="B1119" s="76"/>
      <c r="C1119" s="76"/>
      <c r="D1119" s="44"/>
      <c r="E1119" s="44"/>
      <c r="F1119" s="44"/>
      <c r="G1119" s="44"/>
      <c r="H1119" s="44"/>
      <c r="I1119" s="44"/>
      <c r="J1119" s="76"/>
    </row>
    <row r="1120" spans="2:10" ht="15">
      <c r="B1120" s="76"/>
      <c r="C1120" s="76"/>
      <c r="D1120" s="44"/>
      <c r="E1120" s="44"/>
      <c r="F1120" s="44"/>
      <c r="G1120" s="44"/>
      <c r="H1120" s="44"/>
      <c r="I1120" s="44"/>
      <c r="J1120" s="76"/>
    </row>
    <row r="1121" spans="2:10" ht="15">
      <c r="B1121" s="76"/>
      <c r="C1121" s="76"/>
      <c r="D1121" s="44"/>
      <c r="E1121" s="44"/>
      <c r="F1121" s="44"/>
      <c r="G1121" s="44"/>
      <c r="H1121" s="44"/>
      <c r="I1121" s="44"/>
      <c r="J1121" s="76"/>
    </row>
    <row r="1122" spans="2:10" ht="15">
      <c r="B1122" s="76"/>
      <c r="C1122" s="76"/>
      <c r="D1122" s="44"/>
      <c r="E1122" s="44"/>
      <c r="F1122" s="44"/>
      <c r="G1122" s="44"/>
      <c r="H1122" s="44"/>
      <c r="I1122" s="44"/>
      <c r="J1122" s="76"/>
    </row>
    <row r="1123" spans="2:10" ht="15">
      <c r="B1123" s="76"/>
      <c r="C1123" s="76"/>
      <c r="D1123" s="44"/>
      <c r="E1123" s="44"/>
      <c r="F1123" s="44"/>
      <c r="G1123" s="44"/>
      <c r="H1123" s="44"/>
      <c r="I1123" s="44"/>
      <c r="J1123" s="76"/>
    </row>
    <row r="1124" spans="2:10" ht="15">
      <c r="B1124" s="76"/>
      <c r="C1124" s="76"/>
      <c r="D1124" s="44"/>
      <c r="E1124" s="44"/>
      <c r="F1124" s="44"/>
      <c r="G1124" s="44"/>
      <c r="H1124" s="44"/>
      <c r="I1124" s="44"/>
      <c r="J1124" s="76"/>
    </row>
    <row r="1125" spans="2:10" ht="15">
      <c r="B1125" s="76"/>
      <c r="C1125" s="76"/>
      <c r="D1125" s="44"/>
      <c r="E1125" s="44"/>
      <c r="F1125" s="44"/>
      <c r="G1125" s="44"/>
      <c r="H1125" s="44"/>
      <c r="I1125" s="44"/>
      <c r="J1125" s="76"/>
    </row>
    <row r="1126" spans="2:10" ht="15">
      <c r="B1126" s="76"/>
      <c r="C1126" s="76"/>
      <c r="D1126" s="44"/>
      <c r="E1126" s="44"/>
      <c r="F1126" s="44"/>
      <c r="G1126" s="44"/>
      <c r="H1126" s="44"/>
      <c r="I1126" s="44"/>
      <c r="J1126" s="76"/>
    </row>
    <row r="1127" spans="2:10" ht="15">
      <c r="B1127" s="76"/>
      <c r="C1127" s="76"/>
      <c r="D1127" s="44"/>
      <c r="E1127" s="44"/>
      <c r="F1127" s="44"/>
      <c r="G1127" s="44"/>
      <c r="H1127" s="44"/>
      <c r="I1127" s="44"/>
      <c r="J1127" s="76"/>
    </row>
    <row r="1128" spans="2:10" ht="15">
      <c r="B1128" s="76"/>
      <c r="C1128" s="76"/>
      <c r="D1128" s="44"/>
      <c r="E1128" s="44"/>
      <c r="F1128" s="44"/>
      <c r="G1128" s="44"/>
      <c r="H1128" s="44"/>
      <c r="I1128" s="44"/>
      <c r="J1128" s="76"/>
    </row>
    <row r="1129" spans="2:10" ht="15">
      <c r="B1129" s="76"/>
      <c r="C1129" s="76"/>
      <c r="D1129" s="44"/>
      <c r="E1129" s="44"/>
      <c r="F1129" s="44"/>
      <c r="G1129" s="44"/>
      <c r="H1129" s="44"/>
      <c r="I1129" s="44"/>
      <c r="J1129" s="76"/>
    </row>
    <row r="1130" spans="2:10" ht="15">
      <c r="B1130" s="76"/>
      <c r="C1130" s="76"/>
      <c r="D1130" s="44"/>
      <c r="E1130" s="44"/>
      <c r="F1130" s="44"/>
      <c r="G1130" s="44"/>
      <c r="H1130" s="44"/>
      <c r="I1130" s="44"/>
      <c r="J1130" s="76"/>
    </row>
    <row r="1131" spans="2:10" ht="15">
      <c r="B1131" s="76"/>
      <c r="C1131" s="76"/>
      <c r="D1131" s="44"/>
      <c r="E1131" s="44"/>
      <c r="F1131" s="44"/>
      <c r="G1131" s="44"/>
      <c r="H1131" s="44"/>
      <c r="I1131" s="44"/>
      <c r="J1131" s="76"/>
    </row>
    <row r="1132" spans="2:10" ht="15">
      <c r="B1132" s="76"/>
      <c r="C1132" s="76"/>
      <c r="D1132" s="44"/>
      <c r="E1132" s="44"/>
      <c r="F1132" s="44"/>
      <c r="G1132" s="44"/>
      <c r="H1132" s="44"/>
      <c r="I1132" s="44"/>
      <c r="J1132" s="76"/>
    </row>
    <row r="1133" spans="2:10" ht="15">
      <c r="B1133" s="76"/>
      <c r="C1133" s="76"/>
      <c r="D1133" s="44"/>
      <c r="E1133" s="44"/>
      <c r="F1133" s="44"/>
      <c r="G1133" s="44"/>
      <c r="H1133" s="44"/>
      <c r="I1133" s="44"/>
      <c r="J1133" s="76"/>
    </row>
    <row r="1134" spans="2:10" ht="15">
      <c r="B1134" s="76"/>
      <c r="C1134" s="76"/>
      <c r="D1134" s="44"/>
      <c r="E1134" s="44"/>
      <c r="F1134" s="44"/>
      <c r="G1134" s="44"/>
      <c r="H1134" s="44"/>
      <c r="I1134" s="44"/>
      <c r="J1134" s="76"/>
    </row>
    <row r="1135" spans="2:10" ht="15">
      <c r="B1135" s="76"/>
      <c r="C1135" s="76"/>
      <c r="D1135" s="44"/>
      <c r="E1135" s="44"/>
      <c r="F1135" s="44"/>
      <c r="G1135" s="44"/>
      <c r="H1135" s="44"/>
      <c r="I1135" s="44"/>
      <c r="J1135" s="76"/>
    </row>
    <row r="1136" spans="2:10" ht="15">
      <c r="B1136" s="76"/>
      <c r="C1136" s="76"/>
      <c r="D1136" s="44"/>
      <c r="E1136" s="44"/>
      <c r="F1136" s="44"/>
      <c r="G1136" s="44"/>
      <c r="H1136" s="44"/>
      <c r="I1136" s="44"/>
      <c r="J1136" s="76"/>
    </row>
    <row r="1137" spans="2:10" ht="15">
      <c r="B1137" s="76"/>
      <c r="C1137" s="76"/>
      <c r="D1137" s="44"/>
      <c r="E1137" s="44"/>
      <c r="F1137" s="44"/>
      <c r="G1137" s="44"/>
      <c r="H1137" s="44"/>
      <c r="I1137" s="44"/>
      <c r="J1137" s="76"/>
    </row>
    <row r="1138" spans="2:10" ht="15">
      <c r="B1138" s="76"/>
      <c r="C1138" s="76"/>
      <c r="D1138" s="44"/>
      <c r="E1138" s="44"/>
      <c r="F1138" s="44"/>
      <c r="G1138" s="44"/>
      <c r="H1138" s="44"/>
      <c r="I1138" s="44"/>
      <c r="J1138" s="76"/>
    </row>
    <row r="1139" spans="2:10" ht="15">
      <c r="B1139" s="76"/>
      <c r="C1139" s="76"/>
      <c r="D1139" s="44"/>
      <c r="E1139" s="44"/>
      <c r="F1139" s="44"/>
      <c r="G1139" s="44"/>
      <c r="H1139" s="44"/>
      <c r="I1139" s="44"/>
      <c r="J1139" s="76"/>
    </row>
    <row r="1140" spans="2:10" ht="15">
      <c r="B1140" s="76"/>
      <c r="C1140" s="76"/>
      <c r="D1140" s="44"/>
      <c r="E1140" s="44"/>
      <c r="F1140" s="44"/>
      <c r="G1140" s="44"/>
      <c r="H1140" s="44"/>
      <c r="I1140" s="44"/>
      <c r="J1140" s="76"/>
    </row>
    <row r="1141" spans="2:10" ht="15">
      <c r="B1141" s="76"/>
      <c r="C1141" s="76"/>
      <c r="D1141" s="44"/>
      <c r="E1141" s="44"/>
      <c r="F1141" s="44"/>
      <c r="G1141" s="44"/>
      <c r="H1141" s="44"/>
      <c r="I1141" s="44"/>
      <c r="J1141" s="76"/>
    </row>
    <row r="1142" spans="2:10" ht="15">
      <c r="B1142" s="76"/>
      <c r="C1142" s="76"/>
      <c r="D1142" s="44"/>
      <c r="E1142" s="44"/>
      <c r="F1142" s="44"/>
      <c r="G1142" s="44"/>
      <c r="H1142" s="44"/>
      <c r="I1142" s="44"/>
      <c r="J1142" s="76"/>
    </row>
    <row r="1143" spans="2:10" ht="15">
      <c r="B1143" s="76"/>
      <c r="C1143" s="76"/>
      <c r="D1143" s="44"/>
      <c r="E1143" s="44"/>
      <c r="F1143" s="44"/>
      <c r="G1143" s="44"/>
      <c r="H1143" s="44"/>
      <c r="I1143" s="44"/>
      <c r="J1143" s="76"/>
    </row>
    <row r="1144" spans="2:10" ht="15">
      <c r="B1144" s="76"/>
      <c r="C1144" s="76"/>
      <c r="D1144" s="44"/>
      <c r="E1144" s="44"/>
      <c r="F1144" s="44"/>
      <c r="G1144" s="44"/>
      <c r="H1144" s="44"/>
      <c r="I1144" s="44"/>
      <c r="J1144" s="76"/>
    </row>
    <row r="1145" spans="2:10" ht="15">
      <c r="B1145" s="76"/>
      <c r="C1145" s="76"/>
      <c r="D1145" s="44"/>
      <c r="E1145" s="44"/>
      <c r="F1145" s="44"/>
      <c r="G1145" s="44"/>
      <c r="H1145" s="44"/>
      <c r="I1145" s="44"/>
      <c r="J1145" s="76"/>
    </row>
    <row r="1146" spans="2:10" ht="15">
      <c r="B1146" s="76"/>
      <c r="C1146" s="76"/>
      <c r="D1146" s="44"/>
      <c r="E1146" s="44"/>
      <c r="F1146" s="44"/>
      <c r="G1146" s="44"/>
      <c r="H1146" s="44"/>
      <c r="I1146" s="44"/>
      <c r="J1146" s="76"/>
    </row>
    <row r="1147" spans="2:10" ht="15">
      <c r="B1147" s="76"/>
      <c r="C1147" s="76"/>
      <c r="D1147" s="44"/>
      <c r="E1147" s="44"/>
      <c r="F1147" s="44"/>
      <c r="G1147" s="44"/>
      <c r="H1147" s="44"/>
      <c r="I1147" s="44"/>
      <c r="J1147" s="76"/>
    </row>
    <row r="1148" spans="2:10" ht="15">
      <c r="B1148" s="76"/>
      <c r="C1148" s="76"/>
      <c r="D1148" s="44"/>
      <c r="E1148" s="44"/>
      <c r="F1148" s="44"/>
      <c r="G1148" s="44"/>
      <c r="H1148" s="44"/>
      <c r="I1148" s="44"/>
      <c r="J1148" s="76"/>
    </row>
    <row r="1149" spans="2:10" ht="15">
      <c r="B1149" s="76"/>
      <c r="C1149" s="76"/>
      <c r="D1149" s="44"/>
      <c r="E1149" s="44"/>
      <c r="F1149" s="44"/>
      <c r="G1149" s="44"/>
      <c r="H1149" s="44"/>
      <c r="I1149" s="44"/>
      <c r="J1149" s="76"/>
    </row>
    <row r="1150" spans="2:10" ht="15">
      <c r="B1150" s="76"/>
      <c r="C1150" s="76"/>
      <c r="D1150" s="44"/>
      <c r="E1150" s="44"/>
      <c r="F1150" s="44"/>
      <c r="G1150" s="44"/>
      <c r="H1150" s="44"/>
      <c r="I1150" s="44"/>
      <c r="J1150" s="76"/>
    </row>
    <row r="1151" spans="2:10" ht="15">
      <c r="B1151" s="76"/>
      <c r="C1151" s="76"/>
      <c r="D1151" s="44"/>
      <c r="E1151" s="44"/>
      <c r="F1151" s="44"/>
      <c r="G1151" s="44"/>
      <c r="H1151" s="44"/>
      <c r="I1151" s="44"/>
      <c r="J1151" s="76"/>
    </row>
    <row r="1152" spans="2:10" ht="15">
      <c r="B1152" s="76"/>
      <c r="C1152" s="76"/>
      <c r="D1152" s="44"/>
      <c r="E1152" s="44"/>
      <c r="F1152" s="44"/>
      <c r="G1152" s="44"/>
      <c r="H1152" s="44"/>
      <c r="I1152" s="44"/>
      <c r="J1152" s="76"/>
    </row>
    <row r="1153" spans="2:10" ht="15">
      <c r="B1153" s="76"/>
      <c r="C1153" s="76"/>
      <c r="D1153" s="44"/>
      <c r="E1153" s="44"/>
      <c r="F1153" s="44"/>
      <c r="G1153" s="44"/>
      <c r="H1153" s="44"/>
      <c r="I1153" s="44"/>
      <c r="J1153" s="76"/>
    </row>
    <row r="1154" spans="2:10" ht="15">
      <c r="B1154" s="76"/>
      <c r="C1154" s="76"/>
      <c r="D1154" s="44"/>
      <c r="E1154" s="44"/>
      <c r="F1154" s="44"/>
      <c r="G1154" s="44"/>
      <c r="H1154" s="44"/>
      <c r="I1154" s="44"/>
      <c r="J1154" s="76"/>
    </row>
    <row r="1155" spans="2:10" ht="15">
      <c r="B1155" s="76"/>
      <c r="C1155" s="76"/>
      <c r="D1155" s="44"/>
      <c r="E1155" s="44"/>
      <c r="F1155" s="44"/>
      <c r="G1155" s="44"/>
      <c r="H1155" s="44"/>
      <c r="I1155" s="44"/>
      <c r="J1155" s="76"/>
    </row>
    <row r="1156" spans="2:10" ht="15">
      <c r="B1156" s="76"/>
      <c r="C1156" s="76"/>
      <c r="D1156" s="44"/>
      <c r="E1156" s="44"/>
      <c r="F1156" s="44"/>
      <c r="G1156" s="44"/>
      <c r="H1156" s="44"/>
      <c r="I1156" s="44"/>
      <c r="J1156" s="76"/>
    </row>
    <row r="1157" spans="2:10" ht="15">
      <c r="B1157" s="76"/>
      <c r="C1157" s="76"/>
      <c r="D1157" s="44"/>
      <c r="E1157" s="44"/>
      <c r="F1157" s="44"/>
      <c r="G1157" s="44"/>
      <c r="H1157" s="44"/>
      <c r="I1157" s="44"/>
      <c r="J1157" s="76"/>
    </row>
    <row r="1158" spans="2:10" ht="15">
      <c r="B1158" s="76"/>
      <c r="C1158" s="76"/>
      <c r="D1158" s="44"/>
      <c r="E1158" s="44"/>
      <c r="F1158" s="44"/>
      <c r="G1158" s="44"/>
      <c r="H1158" s="44"/>
      <c r="I1158" s="44"/>
      <c r="J1158" s="76"/>
    </row>
    <row r="1159" spans="2:10" ht="15">
      <c r="B1159" s="76"/>
      <c r="C1159" s="76"/>
      <c r="D1159" s="44"/>
      <c r="E1159" s="44"/>
      <c r="F1159" s="44"/>
      <c r="G1159" s="44"/>
      <c r="H1159" s="44"/>
      <c r="I1159" s="44"/>
      <c r="J1159" s="76"/>
    </row>
    <row r="1160" spans="2:10" ht="15">
      <c r="B1160" s="76"/>
      <c r="C1160" s="76"/>
      <c r="D1160" s="44"/>
      <c r="E1160" s="44"/>
      <c r="F1160" s="44"/>
      <c r="G1160" s="44"/>
      <c r="H1160" s="44"/>
      <c r="I1160" s="44"/>
      <c r="J1160" s="76"/>
    </row>
    <row r="1161" spans="2:10" ht="15">
      <c r="B1161" s="76"/>
      <c r="C1161" s="76"/>
      <c r="D1161" s="44"/>
      <c r="E1161" s="44"/>
      <c r="F1161" s="44"/>
      <c r="G1161" s="44"/>
      <c r="H1161" s="44"/>
      <c r="I1161" s="44"/>
      <c r="J1161" s="76"/>
    </row>
    <row r="1162" spans="2:10" ht="15">
      <c r="B1162" s="76"/>
      <c r="C1162" s="76"/>
      <c r="D1162" s="44"/>
      <c r="E1162" s="44"/>
      <c r="F1162" s="44"/>
      <c r="G1162" s="44"/>
      <c r="H1162" s="44"/>
      <c r="I1162" s="44"/>
      <c r="J1162" s="76"/>
    </row>
    <row r="1163" spans="2:10" ht="15">
      <c r="B1163" s="76"/>
      <c r="C1163" s="76"/>
      <c r="D1163" s="44"/>
      <c r="E1163" s="44"/>
      <c r="F1163" s="44"/>
      <c r="G1163" s="44"/>
      <c r="H1163" s="44"/>
      <c r="I1163" s="44"/>
      <c r="J1163" s="76"/>
    </row>
    <row r="1164" spans="2:10" ht="15">
      <c r="B1164" s="76"/>
      <c r="C1164" s="76"/>
      <c r="D1164" s="44"/>
      <c r="E1164" s="44"/>
      <c r="F1164" s="44"/>
      <c r="G1164" s="44"/>
      <c r="H1164" s="44"/>
      <c r="I1164" s="44"/>
      <c r="J1164" s="76"/>
    </row>
    <row r="1165" spans="2:10" ht="15">
      <c r="B1165" s="76"/>
      <c r="C1165" s="76"/>
      <c r="D1165" s="44"/>
      <c r="E1165" s="44"/>
      <c r="F1165" s="44"/>
      <c r="G1165" s="44"/>
      <c r="H1165" s="44"/>
      <c r="I1165" s="44"/>
      <c r="J1165" s="76"/>
    </row>
    <row r="1166" spans="2:10" ht="15">
      <c r="B1166" s="76"/>
      <c r="C1166" s="76"/>
      <c r="D1166" s="44"/>
      <c r="E1166" s="44"/>
      <c r="F1166" s="44"/>
      <c r="G1166" s="44"/>
      <c r="H1166" s="44"/>
      <c r="I1166" s="44"/>
      <c r="J1166" s="76"/>
    </row>
    <row r="1167" spans="2:10" ht="15">
      <c r="B1167" s="76"/>
      <c r="C1167" s="76"/>
      <c r="D1167" s="44"/>
      <c r="E1167" s="44"/>
      <c r="F1167" s="44"/>
      <c r="G1167" s="44"/>
      <c r="H1167" s="44"/>
      <c r="I1167" s="44"/>
      <c r="J1167" s="76"/>
    </row>
    <row r="1168" spans="2:10" ht="15">
      <c r="B1168" s="76"/>
      <c r="C1168" s="76"/>
      <c r="D1168" s="44"/>
      <c r="E1168" s="44"/>
      <c r="F1168" s="44"/>
      <c r="G1168" s="44"/>
      <c r="H1168" s="44"/>
      <c r="I1168" s="44"/>
      <c r="J1168" s="76"/>
    </row>
    <row r="1169" spans="2:10" ht="15">
      <c r="B1169" s="76"/>
      <c r="C1169" s="76"/>
      <c r="D1169" s="44"/>
      <c r="E1169" s="44"/>
      <c r="F1169" s="44"/>
      <c r="G1169" s="44"/>
      <c r="H1169" s="44"/>
      <c r="I1169" s="44"/>
      <c r="J1169" s="76"/>
    </row>
    <row r="1170" spans="2:10" ht="15">
      <c r="B1170" s="76"/>
      <c r="C1170" s="76"/>
      <c r="D1170" s="44"/>
      <c r="E1170" s="44"/>
      <c r="F1170" s="44"/>
      <c r="G1170" s="44"/>
      <c r="H1170" s="44"/>
      <c r="I1170" s="44"/>
      <c r="J1170" s="76"/>
    </row>
    <row r="1171" spans="2:10" ht="15">
      <c r="B1171" s="76"/>
      <c r="C1171" s="76"/>
      <c r="D1171" s="44"/>
      <c r="E1171" s="44"/>
      <c r="F1171" s="44"/>
      <c r="G1171" s="44"/>
      <c r="H1171" s="44"/>
      <c r="I1171" s="44"/>
      <c r="J1171" s="76"/>
    </row>
    <row r="1172" spans="2:10" ht="15">
      <c r="B1172" s="76"/>
      <c r="C1172" s="76"/>
      <c r="D1172" s="44"/>
      <c r="E1172" s="44"/>
      <c r="F1172" s="44"/>
      <c r="G1172" s="44"/>
      <c r="H1172" s="44"/>
      <c r="I1172" s="44"/>
      <c r="J1172" s="76"/>
    </row>
    <row r="1173" spans="2:10" ht="15">
      <c r="B1173" s="76"/>
      <c r="C1173" s="76"/>
      <c r="D1173" s="44"/>
      <c r="E1173" s="44"/>
      <c r="F1173" s="44"/>
      <c r="G1173" s="44"/>
      <c r="H1173" s="44"/>
      <c r="I1173" s="44"/>
      <c r="J1173" s="76"/>
    </row>
    <row r="1174" spans="2:10" ht="15">
      <c r="B1174" s="76"/>
      <c r="C1174" s="76"/>
      <c r="D1174" s="44"/>
      <c r="E1174" s="44"/>
      <c r="F1174" s="44"/>
      <c r="G1174" s="44"/>
      <c r="H1174" s="44"/>
      <c r="I1174" s="44"/>
      <c r="J1174" s="76"/>
    </row>
    <row r="1175" spans="2:10" ht="15">
      <c r="B1175" s="76"/>
      <c r="C1175" s="76"/>
      <c r="D1175" s="44"/>
      <c r="E1175" s="44"/>
      <c r="F1175" s="44"/>
      <c r="G1175" s="44"/>
      <c r="H1175" s="44"/>
      <c r="I1175" s="44"/>
      <c r="J1175" s="76"/>
    </row>
    <row r="1176" spans="2:10" ht="15">
      <c r="B1176" s="76"/>
      <c r="C1176" s="76"/>
      <c r="D1176" s="44"/>
      <c r="E1176" s="44"/>
      <c r="F1176" s="44"/>
      <c r="G1176" s="44"/>
      <c r="H1176" s="44"/>
      <c r="I1176" s="44"/>
      <c r="J1176" s="76"/>
    </row>
    <row r="1177" spans="2:10" ht="15">
      <c r="B1177" s="76"/>
      <c r="C1177" s="76"/>
      <c r="D1177" s="44"/>
      <c r="E1177" s="44"/>
      <c r="F1177" s="44"/>
      <c r="G1177" s="44"/>
      <c r="H1177" s="44"/>
      <c r="I1177" s="44"/>
      <c r="J1177" s="76"/>
    </row>
    <row r="1178" spans="2:10" ht="15">
      <c r="B1178" s="76"/>
      <c r="C1178" s="76"/>
      <c r="D1178" s="44"/>
      <c r="E1178" s="44"/>
      <c r="F1178" s="44"/>
      <c r="G1178" s="44"/>
      <c r="H1178" s="44"/>
      <c r="I1178" s="44"/>
      <c r="J1178" s="76"/>
    </row>
    <row r="1179" spans="2:10" ht="15">
      <c r="B1179" s="76"/>
      <c r="C1179" s="76"/>
      <c r="D1179" s="44"/>
      <c r="E1179" s="44"/>
      <c r="F1179" s="44"/>
      <c r="G1179" s="44"/>
      <c r="H1179" s="44"/>
      <c r="I1179" s="44"/>
      <c r="J1179" s="76"/>
    </row>
    <row r="1180" spans="2:10" ht="15">
      <c r="B1180" s="76"/>
      <c r="C1180" s="76"/>
      <c r="D1180" s="44"/>
      <c r="E1180" s="44"/>
      <c r="F1180" s="44"/>
      <c r="G1180" s="44"/>
      <c r="H1180" s="44"/>
      <c r="I1180" s="44"/>
      <c r="J1180" s="76"/>
    </row>
    <row r="1181" spans="2:10" ht="15">
      <c r="B1181" s="76"/>
      <c r="C1181" s="76"/>
      <c r="D1181" s="44"/>
      <c r="E1181" s="44"/>
      <c r="F1181" s="44"/>
      <c r="G1181" s="44"/>
      <c r="H1181" s="44"/>
      <c r="I1181" s="44"/>
      <c r="J1181" s="76"/>
    </row>
    <row r="1182" spans="2:10" ht="15">
      <c r="B1182" s="76"/>
      <c r="C1182" s="76"/>
      <c r="D1182" s="44"/>
      <c r="E1182" s="44"/>
      <c r="F1182" s="44"/>
      <c r="G1182" s="44"/>
      <c r="H1182" s="44"/>
      <c r="I1182" s="44"/>
      <c r="J1182" s="76"/>
    </row>
    <row r="1183" spans="2:10" ht="15">
      <c r="B1183" s="76"/>
      <c r="C1183" s="76"/>
      <c r="D1183" s="44"/>
      <c r="E1183" s="44"/>
      <c r="F1183" s="44"/>
      <c r="G1183" s="44"/>
      <c r="H1183" s="44"/>
      <c r="I1183" s="44"/>
      <c r="J1183" s="76"/>
    </row>
    <row r="1184" spans="2:10" ht="15">
      <c r="B1184" s="76"/>
      <c r="C1184" s="76"/>
      <c r="D1184" s="44"/>
      <c r="E1184" s="44"/>
      <c r="F1184" s="44"/>
      <c r="G1184" s="44"/>
      <c r="H1184" s="44"/>
      <c r="I1184" s="44"/>
      <c r="J1184" s="76"/>
    </row>
    <row r="1185" spans="2:10" ht="15">
      <c r="B1185" s="76"/>
      <c r="C1185" s="76"/>
      <c r="D1185" s="44"/>
      <c r="E1185" s="44"/>
      <c r="F1185" s="44"/>
      <c r="G1185" s="44"/>
      <c r="H1185" s="44"/>
      <c r="I1185" s="44"/>
      <c r="J1185" s="76"/>
    </row>
    <row r="1186" spans="2:10" ht="15">
      <c r="B1186" s="76"/>
      <c r="C1186" s="76"/>
      <c r="D1186" s="44"/>
      <c r="E1186" s="44"/>
      <c r="F1186" s="44"/>
      <c r="G1186" s="44"/>
      <c r="H1186" s="44"/>
      <c r="I1186" s="44"/>
      <c r="J1186" s="76"/>
    </row>
    <row r="1187" spans="2:10" ht="15">
      <c r="B1187" s="76"/>
      <c r="C1187" s="76"/>
      <c r="D1187" s="44"/>
      <c r="E1187" s="44"/>
      <c r="F1187" s="44"/>
      <c r="G1187" s="44"/>
      <c r="H1187" s="44"/>
      <c r="I1187" s="44"/>
      <c r="J1187" s="76"/>
    </row>
    <row r="1188" spans="2:10" ht="15">
      <c r="B1188" s="76"/>
      <c r="C1188" s="76"/>
      <c r="D1188" s="44"/>
      <c r="E1188" s="44"/>
      <c r="F1188" s="44"/>
      <c r="G1188" s="44"/>
      <c r="H1188" s="44"/>
      <c r="I1188" s="44"/>
      <c r="J1188" s="76"/>
    </row>
    <row r="1189" spans="2:10" ht="15">
      <c r="B1189" s="76"/>
      <c r="C1189" s="76"/>
      <c r="D1189" s="44"/>
      <c r="E1189" s="44"/>
      <c r="F1189" s="44"/>
      <c r="G1189" s="44"/>
      <c r="H1189" s="44"/>
      <c r="I1189" s="44"/>
      <c r="J1189" s="76"/>
    </row>
    <row r="1190" spans="2:10" ht="15">
      <c r="B1190" s="76"/>
      <c r="C1190" s="76"/>
      <c r="D1190" s="44"/>
      <c r="E1190" s="44"/>
      <c r="F1190" s="44"/>
      <c r="G1190" s="44"/>
      <c r="H1190" s="44"/>
      <c r="I1190" s="44"/>
      <c r="J1190" s="76"/>
    </row>
    <row r="1191" spans="2:10" ht="15">
      <c r="B1191" s="76"/>
      <c r="C1191" s="76"/>
      <c r="D1191" s="44"/>
      <c r="E1191" s="44"/>
      <c r="F1191" s="44"/>
      <c r="G1191" s="44"/>
      <c r="H1191" s="44"/>
      <c r="I1191" s="44"/>
      <c r="J1191" s="76"/>
    </row>
    <row r="1192" spans="2:10" ht="15">
      <c r="B1192" s="76"/>
      <c r="C1192" s="76"/>
      <c r="D1192" s="44"/>
      <c r="E1192" s="44"/>
      <c r="F1192" s="44"/>
      <c r="G1192" s="44"/>
      <c r="H1192" s="44"/>
      <c r="I1192" s="44"/>
      <c r="J1192" s="76"/>
    </row>
    <row r="1193" spans="2:10" ht="15">
      <c r="B1193" s="76"/>
      <c r="C1193" s="76"/>
      <c r="D1193" s="44"/>
      <c r="E1193" s="44"/>
      <c r="F1193" s="44"/>
      <c r="G1193" s="44"/>
      <c r="H1193" s="44"/>
      <c r="I1193" s="44"/>
      <c r="J1193" s="76"/>
    </row>
    <row r="1194" spans="2:10" ht="15">
      <c r="B1194" s="76"/>
      <c r="C1194" s="76"/>
      <c r="D1194" s="44"/>
      <c r="E1194" s="44"/>
      <c r="F1194" s="44"/>
      <c r="G1194" s="44"/>
      <c r="H1194" s="44"/>
      <c r="I1194" s="44"/>
      <c r="J1194" s="76"/>
    </row>
    <row r="1195" spans="2:10" ht="15">
      <c r="B1195" s="76"/>
      <c r="C1195" s="76"/>
      <c r="D1195" s="44"/>
      <c r="E1195" s="44"/>
      <c r="F1195" s="44"/>
      <c r="G1195" s="44"/>
      <c r="H1195" s="44"/>
      <c r="I1195" s="44"/>
      <c r="J1195" s="76"/>
    </row>
    <row r="1196" spans="2:10" ht="15">
      <c r="B1196" s="76"/>
      <c r="C1196" s="76"/>
      <c r="D1196" s="44"/>
      <c r="E1196" s="44"/>
      <c r="F1196" s="44"/>
      <c r="G1196" s="44"/>
      <c r="H1196" s="44"/>
      <c r="I1196" s="44"/>
      <c r="J1196" s="76"/>
    </row>
    <row r="1197" spans="2:10" ht="15">
      <c r="B1197" s="76"/>
      <c r="C1197" s="76"/>
      <c r="D1197" s="44"/>
      <c r="E1197" s="44"/>
      <c r="F1197" s="44"/>
      <c r="G1197" s="44"/>
      <c r="H1197" s="44"/>
      <c r="I1197" s="44"/>
      <c r="J1197" s="76"/>
    </row>
    <row r="1198" spans="2:10" ht="15">
      <c r="B1198" s="76"/>
      <c r="C1198" s="76"/>
      <c r="D1198" s="44"/>
      <c r="E1198" s="44"/>
      <c r="F1198" s="44"/>
      <c r="G1198" s="44"/>
      <c r="H1198" s="44"/>
      <c r="I1198" s="44"/>
      <c r="J1198" s="76"/>
    </row>
    <row r="1199" spans="2:10" ht="15">
      <c r="B1199" s="76"/>
      <c r="C1199" s="76"/>
      <c r="D1199" s="44"/>
      <c r="E1199" s="44"/>
      <c r="F1199" s="44"/>
      <c r="G1199" s="44"/>
      <c r="H1199" s="44"/>
      <c r="I1199" s="44"/>
      <c r="J1199" s="76"/>
    </row>
    <row r="1200" spans="2:10" ht="15">
      <c r="B1200" s="76"/>
      <c r="C1200" s="76"/>
      <c r="D1200" s="44"/>
      <c r="E1200" s="44"/>
      <c r="F1200" s="44"/>
      <c r="G1200" s="44"/>
      <c r="H1200" s="44"/>
      <c r="I1200" s="44"/>
      <c r="J1200" s="76"/>
    </row>
    <row r="1201" spans="2:10" ht="15">
      <c r="B1201" s="76"/>
      <c r="C1201" s="76"/>
      <c r="D1201" s="44"/>
      <c r="E1201" s="44"/>
      <c r="F1201" s="44"/>
      <c r="G1201" s="44"/>
      <c r="H1201" s="44"/>
      <c r="I1201" s="44"/>
      <c r="J1201" s="76"/>
    </row>
    <row r="1202" spans="2:10" ht="15">
      <c r="B1202" s="76"/>
      <c r="C1202" s="76"/>
      <c r="D1202" s="44"/>
      <c r="E1202" s="44"/>
      <c r="F1202" s="44"/>
      <c r="G1202" s="44"/>
      <c r="H1202" s="44"/>
      <c r="I1202" s="44"/>
      <c r="J1202" s="76"/>
    </row>
    <row r="1203" spans="2:10" ht="15">
      <c r="B1203" s="76"/>
      <c r="C1203" s="76"/>
      <c r="D1203" s="44"/>
      <c r="E1203" s="44"/>
      <c r="F1203" s="44"/>
      <c r="G1203" s="44"/>
      <c r="H1203" s="44"/>
      <c r="I1203" s="44"/>
      <c r="J1203" s="76"/>
    </row>
    <row r="1204" spans="2:10" ht="15">
      <c r="B1204" s="76"/>
      <c r="C1204" s="76"/>
      <c r="D1204" s="44"/>
      <c r="E1204" s="44"/>
      <c r="F1204" s="44"/>
      <c r="G1204" s="44"/>
      <c r="H1204" s="44"/>
      <c r="I1204" s="44"/>
      <c r="J1204" s="76"/>
    </row>
    <row r="1205" spans="2:10" ht="15">
      <c r="B1205" s="76"/>
      <c r="C1205" s="76"/>
      <c r="D1205" s="44"/>
      <c r="E1205" s="44"/>
      <c r="F1205" s="44"/>
      <c r="G1205" s="44"/>
      <c r="H1205" s="44"/>
      <c r="I1205" s="44"/>
      <c r="J1205" s="76"/>
    </row>
    <row r="1206" spans="2:10" ht="15">
      <c r="B1206" s="76"/>
      <c r="C1206" s="76"/>
      <c r="D1206" s="44"/>
      <c r="E1206" s="44"/>
      <c r="F1206" s="44"/>
      <c r="G1206" s="44"/>
      <c r="H1206" s="44"/>
      <c r="I1206" s="44"/>
      <c r="J1206" s="76"/>
    </row>
    <row r="1207" spans="2:10" ht="15">
      <c r="B1207" s="76"/>
      <c r="C1207" s="76"/>
      <c r="D1207" s="44"/>
      <c r="E1207" s="44"/>
      <c r="F1207" s="44"/>
      <c r="G1207" s="44"/>
      <c r="H1207" s="44"/>
      <c r="I1207" s="44"/>
      <c r="J1207" s="76"/>
    </row>
    <row r="1208" spans="2:10" ht="15">
      <c r="B1208" s="76"/>
      <c r="C1208" s="76"/>
      <c r="D1208" s="44"/>
      <c r="E1208" s="44"/>
      <c r="F1208" s="44"/>
      <c r="G1208" s="44"/>
      <c r="H1208" s="44"/>
      <c r="I1208" s="44"/>
      <c r="J1208" s="76"/>
    </row>
    <row r="1209" spans="2:10" ht="15">
      <c r="B1209" s="76"/>
      <c r="C1209" s="76"/>
      <c r="D1209" s="44"/>
      <c r="E1209" s="44"/>
      <c r="F1209" s="44"/>
      <c r="G1209" s="44"/>
      <c r="H1209" s="44"/>
      <c r="I1209" s="44"/>
      <c r="J1209" s="76"/>
    </row>
    <row r="1210" spans="2:10" ht="15">
      <c r="B1210" s="76"/>
      <c r="C1210" s="76"/>
      <c r="D1210" s="44"/>
      <c r="E1210" s="44"/>
      <c r="F1210" s="44"/>
      <c r="G1210" s="44"/>
      <c r="H1210" s="44"/>
      <c r="I1210" s="44"/>
      <c r="J1210" s="76"/>
    </row>
    <row r="1211" spans="2:10" ht="15">
      <c r="B1211" s="76"/>
      <c r="C1211" s="76"/>
      <c r="D1211" s="44"/>
      <c r="E1211" s="44"/>
      <c r="F1211" s="44"/>
      <c r="G1211" s="44"/>
      <c r="H1211" s="44"/>
      <c r="I1211" s="44"/>
      <c r="J1211" s="76"/>
    </row>
    <row r="1212" spans="2:10" ht="15">
      <c r="B1212" s="76"/>
      <c r="C1212" s="76"/>
      <c r="D1212" s="44"/>
      <c r="E1212" s="44"/>
      <c r="F1212" s="44"/>
      <c r="G1212" s="44"/>
      <c r="H1212" s="44"/>
      <c r="I1212" s="44"/>
      <c r="J1212" s="76"/>
    </row>
    <row r="1213" spans="2:10" ht="15">
      <c r="B1213" s="76"/>
      <c r="C1213" s="76"/>
      <c r="D1213" s="44"/>
      <c r="E1213" s="44"/>
      <c r="F1213" s="44"/>
      <c r="G1213" s="44"/>
      <c r="H1213" s="44"/>
      <c r="I1213" s="44"/>
      <c r="J1213" s="76"/>
    </row>
    <row r="1214" spans="2:10" ht="15">
      <c r="B1214" s="76"/>
      <c r="C1214" s="76"/>
      <c r="D1214" s="44"/>
      <c r="E1214" s="44"/>
      <c r="F1214" s="44"/>
      <c r="G1214" s="44"/>
      <c r="H1214" s="44"/>
      <c r="I1214" s="44"/>
      <c r="J1214" s="76"/>
    </row>
    <row r="1215" spans="2:10" ht="15">
      <c r="B1215" s="76"/>
      <c r="C1215" s="76"/>
      <c r="D1215" s="44"/>
      <c r="E1215" s="44"/>
      <c r="F1215" s="44"/>
      <c r="G1215" s="44"/>
      <c r="H1215" s="44"/>
      <c r="I1215" s="44"/>
      <c r="J1215" s="76"/>
    </row>
    <row r="1216" spans="2:10" ht="15">
      <c r="B1216" s="76"/>
      <c r="C1216" s="76"/>
      <c r="D1216" s="44"/>
      <c r="E1216" s="44"/>
      <c r="F1216" s="44"/>
      <c r="G1216" s="44"/>
      <c r="H1216" s="44"/>
      <c r="I1216" s="44"/>
      <c r="J1216" s="76"/>
    </row>
    <row r="1217" spans="2:10" ht="15">
      <c r="B1217" s="76"/>
      <c r="C1217" s="76"/>
      <c r="D1217" s="44"/>
      <c r="E1217" s="44"/>
      <c r="F1217" s="44"/>
      <c r="G1217" s="44"/>
      <c r="H1217" s="44"/>
      <c r="I1217" s="44"/>
      <c r="J1217" s="76"/>
    </row>
    <row r="1218" spans="2:10" ht="15">
      <c r="B1218" s="76"/>
      <c r="C1218" s="76"/>
      <c r="D1218" s="44"/>
      <c r="E1218" s="44"/>
      <c r="F1218" s="44"/>
      <c r="G1218" s="44"/>
      <c r="H1218" s="44"/>
      <c r="I1218" s="44"/>
      <c r="J1218" s="76"/>
    </row>
    <row r="1219" spans="2:10" ht="15">
      <c r="B1219" s="76"/>
      <c r="C1219" s="76"/>
      <c r="D1219" s="44"/>
      <c r="E1219" s="44"/>
      <c r="F1219" s="44"/>
      <c r="G1219" s="44"/>
      <c r="H1219" s="44"/>
      <c r="I1219" s="44"/>
      <c r="J1219" s="76"/>
    </row>
    <row r="1220" spans="2:10" ht="15">
      <c r="B1220" s="76"/>
      <c r="C1220" s="76"/>
      <c r="D1220" s="44"/>
      <c r="E1220" s="44"/>
      <c r="F1220" s="44"/>
      <c r="G1220" s="44"/>
      <c r="H1220" s="44"/>
      <c r="I1220" s="44"/>
      <c r="J1220" s="76"/>
    </row>
    <row r="1221" spans="2:10" ht="15">
      <c r="B1221" s="76"/>
      <c r="C1221" s="76"/>
      <c r="D1221" s="44"/>
      <c r="E1221" s="44"/>
      <c r="F1221" s="44"/>
      <c r="G1221" s="44"/>
      <c r="H1221" s="44"/>
      <c r="I1221" s="44"/>
      <c r="J1221" s="76"/>
    </row>
    <row r="1222" spans="2:10" ht="15">
      <c r="B1222" s="76"/>
      <c r="C1222" s="76"/>
      <c r="D1222" s="44"/>
      <c r="E1222" s="44"/>
      <c r="F1222" s="44"/>
      <c r="G1222" s="44"/>
      <c r="H1222" s="44"/>
      <c r="I1222" s="44"/>
      <c r="J1222" s="76"/>
    </row>
    <row r="1223" spans="2:10" ht="15">
      <c r="B1223" s="76"/>
      <c r="C1223" s="76"/>
      <c r="D1223" s="44"/>
      <c r="E1223" s="44"/>
      <c r="F1223" s="44"/>
      <c r="G1223" s="44"/>
      <c r="H1223" s="44"/>
      <c r="I1223" s="44"/>
      <c r="J1223" s="76"/>
    </row>
    <row r="1224" spans="2:10" ht="15">
      <c r="B1224" s="76"/>
      <c r="C1224" s="76"/>
      <c r="D1224" s="44"/>
      <c r="E1224" s="44"/>
      <c r="F1224" s="44"/>
      <c r="G1224" s="44"/>
      <c r="H1224" s="44"/>
      <c r="I1224" s="44"/>
      <c r="J1224" s="76"/>
    </row>
    <row r="1225" spans="2:10" ht="15">
      <c r="B1225" s="76"/>
      <c r="C1225" s="76"/>
      <c r="D1225" s="44"/>
      <c r="E1225" s="44"/>
      <c r="F1225" s="44"/>
      <c r="G1225" s="44"/>
      <c r="H1225" s="44"/>
      <c r="I1225" s="44"/>
      <c r="J1225" s="76"/>
    </row>
    <row r="1226" spans="2:10" ht="15">
      <c r="B1226" s="76"/>
      <c r="C1226" s="76"/>
      <c r="D1226" s="44"/>
      <c r="E1226" s="44"/>
      <c r="F1226" s="44"/>
      <c r="G1226" s="44"/>
      <c r="H1226" s="44"/>
      <c r="I1226" s="44"/>
      <c r="J1226" s="76"/>
    </row>
    <row r="1227" spans="2:10" ht="15">
      <c r="B1227" s="76"/>
      <c r="C1227" s="76"/>
      <c r="D1227" s="44"/>
      <c r="E1227" s="44"/>
      <c r="F1227" s="44"/>
      <c r="G1227" s="44"/>
      <c r="H1227" s="44"/>
      <c r="I1227" s="44"/>
      <c r="J1227" s="76"/>
    </row>
    <row r="1228" spans="2:10" ht="15">
      <c r="B1228" s="76"/>
      <c r="C1228" s="76"/>
      <c r="D1228" s="44"/>
      <c r="E1228" s="44"/>
      <c r="F1228" s="44"/>
      <c r="G1228" s="44"/>
      <c r="H1228" s="44"/>
      <c r="I1228" s="44"/>
      <c r="J1228" s="76"/>
    </row>
    <row r="1229" spans="2:10" ht="15">
      <c r="B1229" s="76"/>
      <c r="C1229" s="76"/>
      <c r="D1229" s="44"/>
      <c r="E1229" s="44"/>
      <c r="F1229" s="44"/>
      <c r="G1229" s="44"/>
      <c r="H1229" s="44"/>
      <c r="I1229" s="44"/>
      <c r="J1229" s="76"/>
    </row>
    <row r="1230" spans="2:10" ht="15">
      <c r="B1230" s="76"/>
      <c r="C1230" s="76"/>
      <c r="D1230" s="44"/>
      <c r="E1230" s="44"/>
      <c r="F1230" s="44"/>
      <c r="G1230" s="44"/>
      <c r="H1230" s="44"/>
      <c r="I1230" s="44"/>
      <c r="J1230" s="76"/>
    </row>
    <row r="1231" spans="2:10" ht="15">
      <c r="B1231" s="76"/>
      <c r="C1231" s="76"/>
      <c r="D1231" s="44"/>
      <c r="E1231" s="44"/>
      <c r="F1231" s="44"/>
      <c r="G1231" s="44"/>
      <c r="H1231" s="44"/>
      <c r="I1231" s="44"/>
      <c r="J1231" s="76"/>
    </row>
    <row r="1232" spans="2:10" ht="15">
      <c r="B1232" s="76"/>
      <c r="C1232" s="76"/>
      <c r="D1232" s="44"/>
      <c r="E1232" s="44"/>
      <c r="F1232" s="44"/>
      <c r="G1232" s="44"/>
      <c r="H1232" s="44"/>
      <c r="I1232" s="44"/>
      <c r="J1232" s="76"/>
    </row>
    <row r="1233" spans="2:10" ht="15">
      <c r="B1233" s="76"/>
      <c r="C1233" s="76"/>
      <c r="D1233" s="44"/>
      <c r="E1233" s="44"/>
      <c r="F1233" s="44"/>
      <c r="G1233" s="44"/>
      <c r="H1233" s="44"/>
      <c r="I1233" s="44"/>
      <c r="J1233" s="76"/>
    </row>
    <row r="1234" spans="2:10" ht="15">
      <c r="B1234" s="76"/>
      <c r="C1234" s="76"/>
      <c r="D1234" s="44"/>
      <c r="E1234" s="44"/>
      <c r="F1234" s="44"/>
      <c r="G1234" s="44"/>
      <c r="H1234" s="44"/>
      <c r="I1234" s="44"/>
      <c r="J1234" s="76"/>
    </row>
    <row r="1235" spans="2:10" ht="15">
      <c r="B1235" s="76"/>
      <c r="C1235" s="76"/>
      <c r="D1235" s="44"/>
      <c r="E1235" s="44"/>
      <c r="F1235" s="44"/>
      <c r="G1235" s="44"/>
      <c r="H1235" s="44"/>
      <c r="I1235" s="44"/>
      <c r="J1235" s="76"/>
    </row>
    <row r="1236" spans="2:10" ht="15">
      <c r="B1236" s="76"/>
      <c r="C1236" s="76"/>
      <c r="D1236" s="44"/>
      <c r="E1236" s="44"/>
      <c r="F1236" s="44"/>
      <c r="G1236" s="44"/>
      <c r="H1236" s="44"/>
      <c r="I1236" s="44"/>
      <c r="J1236" s="76"/>
    </row>
    <row r="1237" spans="2:10" ht="15">
      <c r="B1237" s="76"/>
      <c r="C1237" s="76"/>
      <c r="D1237" s="44"/>
      <c r="E1237" s="44"/>
      <c r="F1237" s="44"/>
      <c r="G1237" s="44"/>
      <c r="H1237" s="44"/>
      <c r="I1237" s="44"/>
      <c r="J1237" s="76"/>
    </row>
    <row r="1238" spans="2:10" ht="15">
      <c r="B1238" s="76"/>
      <c r="C1238" s="76"/>
      <c r="D1238" s="44"/>
      <c r="E1238" s="44"/>
      <c r="F1238" s="44"/>
      <c r="G1238" s="44"/>
      <c r="H1238" s="44"/>
      <c r="I1238" s="44"/>
      <c r="J1238" s="76"/>
    </row>
    <row r="1239" spans="2:10" ht="15">
      <c r="B1239" s="76"/>
      <c r="C1239" s="76"/>
      <c r="D1239" s="44"/>
      <c r="E1239" s="44"/>
      <c r="F1239" s="44"/>
      <c r="G1239" s="44"/>
      <c r="H1239" s="44"/>
      <c r="I1239" s="44"/>
      <c r="J1239" s="76"/>
    </row>
    <row r="1240" spans="2:10" ht="15">
      <c r="B1240" s="76"/>
      <c r="C1240" s="76"/>
      <c r="D1240" s="44"/>
      <c r="E1240" s="44"/>
      <c r="F1240" s="44"/>
      <c r="G1240" s="44"/>
      <c r="H1240" s="44"/>
      <c r="I1240" s="44"/>
      <c r="J1240" s="76"/>
    </row>
    <row r="1241" spans="2:10" ht="15">
      <c r="B1241" s="76"/>
      <c r="C1241" s="76"/>
      <c r="D1241" s="44"/>
      <c r="E1241" s="44"/>
      <c r="F1241" s="44"/>
      <c r="G1241" s="44"/>
      <c r="H1241" s="44"/>
      <c r="I1241" s="44"/>
      <c r="J1241" s="76"/>
    </row>
    <row r="1242" spans="2:10" ht="15">
      <c r="B1242" s="76"/>
      <c r="C1242" s="76"/>
      <c r="D1242" s="44"/>
      <c r="E1242" s="44"/>
      <c r="F1242" s="44"/>
      <c r="G1242" s="44"/>
      <c r="H1242" s="44"/>
      <c r="I1242" s="44"/>
      <c r="J1242" s="76"/>
    </row>
    <row r="1243" spans="2:10" ht="15">
      <c r="B1243" s="76"/>
      <c r="C1243" s="76"/>
      <c r="D1243" s="44"/>
      <c r="E1243" s="44"/>
      <c r="F1243" s="44"/>
      <c r="G1243" s="44"/>
      <c r="H1243" s="44"/>
      <c r="I1243" s="44"/>
      <c r="J1243" s="76"/>
    </row>
    <row r="1244" spans="2:10" ht="15">
      <c r="B1244" s="76"/>
      <c r="C1244" s="76"/>
      <c r="D1244" s="44"/>
      <c r="E1244" s="44"/>
      <c r="F1244" s="44"/>
      <c r="G1244" s="44"/>
      <c r="H1244" s="44"/>
      <c r="I1244" s="44"/>
      <c r="J1244" s="76"/>
    </row>
    <row r="1245" spans="2:10" ht="15">
      <c r="B1245" s="76"/>
      <c r="C1245" s="76"/>
      <c r="D1245" s="44"/>
      <c r="E1245" s="44"/>
      <c r="F1245" s="44"/>
      <c r="G1245" s="44"/>
      <c r="H1245" s="44"/>
      <c r="I1245" s="44"/>
      <c r="J1245" s="76"/>
    </row>
    <row r="1246" spans="2:10" ht="15">
      <c r="B1246" s="76"/>
      <c r="C1246" s="76"/>
      <c r="D1246" s="44"/>
      <c r="E1246" s="44"/>
      <c r="F1246" s="44"/>
      <c r="G1246" s="44"/>
      <c r="H1246" s="44"/>
      <c r="I1246" s="44"/>
      <c r="J1246" s="76"/>
    </row>
    <row r="1247" spans="2:10" ht="15">
      <c r="B1247" s="76"/>
      <c r="C1247" s="76"/>
      <c r="D1247" s="44"/>
      <c r="E1247" s="44"/>
      <c r="F1247" s="44"/>
      <c r="G1247" s="44"/>
      <c r="H1247" s="44"/>
      <c r="I1247" s="44"/>
      <c r="J1247" s="76"/>
    </row>
    <row r="1248" spans="2:10" ht="15">
      <c r="B1248" s="76"/>
      <c r="C1248" s="76"/>
      <c r="D1248" s="44"/>
      <c r="E1248" s="44"/>
      <c r="F1248" s="44"/>
      <c r="G1248" s="44"/>
      <c r="H1248" s="44"/>
      <c r="I1248" s="44"/>
      <c r="J1248" s="76"/>
    </row>
    <row r="1249" spans="2:10" ht="15">
      <c r="B1249" s="76"/>
      <c r="C1249" s="76"/>
      <c r="D1249" s="44"/>
      <c r="E1249" s="44"/>
      <c r="F1249" s="44"/>
      <c r="G1249" s="44"/>
      <c r="H1249" s="44"/>
      <c r="I1249" s="44"/>
      <c r="J1249" s="76"/>
    </row>
    <row r="1250" spans="2:10" ht="15">
      <c r="B1250" s="76"/>
      <c r="C1250" s="76"/>
      <c r="D1250" s="44"/>
      <c r="E1250" s="44"/>
      <c r="F1250" s="44"/>
      <c r="G1250" s="44"/>
      <c r="H1250" s="44"/>
      <c r="I1250" s="44"/>
      <c r="J1250" s="76"/>
    </row>
    <row r="1251" spans="2:10" ht="15">
      <c r="B1251" s="76"/>
      <c r="C1251" s="76"/>
      <c r="D1251" s="44"/>
      <c r="E1251" s="44"/>
      <c r="F1251" s="44"/>
      <c r="G1251" s="44"/>
      <c r="H1251" s="44"/>
      <c r="I1251" s="44"/>
      <c r="J1251" s="76"/>
    </row>
    <row r="1252" spans="2:10" ht="15">
      <c r="B1252" s="76"/>
      <c r="C1252" s="76"/>
      <c r="D1252" s="44"/>
      <c r="E1252" s="44"/>
      <c r="F1252" s="44"/>
      <c r="G1252" s="44"/>
      <c r="H1252" s="44"/>
      <c r="I1252" s="44"/>
      <c r="J1252" s="76"/>
    </row>
    <row r="1253" spans="2:10" ht="15">
      <c r="B1253" s="76"/>
      <c r="C1253" s="76"/>
      <c r="D1253" s="44"/>
      <c r="E1253" s="44"/>
      <c r="F1253" s="44"/>
      <c r="G1253" s="44"/>
      <c r="H1253" s="44"/>
      <c r="I1253" s="44"/>
      <c r="J1253" s="76"/>
    </row>
    <row r="1254" spans="2:10" ht="15">
      <c r="B1254" s="76"/>
      <c r="C1254" s="76"/>
      <c r="D1254" s="44"/>
      <c r="E1254" s="44"/>
      <c r="F1254" s="44"/>
      <c r="G1254" s="44"/>
      <c r="H1254" s="44"/>
      <c r="I1254" s="44"/>
      <c r="J1254" s="76"/>
    </row>
    <row r="1255" spans="2:10" ht="15">
      <c r="B1255" s="76"/>
      <c r="C1255" s="76"/>
      <c r="D1255" s="44"/>
      <c r="E1255" s="44"/>
      <c r="F1255" s="44"/>
      <c r="G1255" s="44"/>
      <c r="H1255" s="44"/>
      <c r="I1255" s="44"/>
      <c r="J1255" s="76"/>
    </row>
    <row r="1256" spans="2:10" ht="15">
      <c r="B1256" s="76"/>
      <c r="C1256" s="76"/>
      <c r="D1256" s="44"/>
      <c r="E1256" s="44"/>
      <c r="F1256" s="44"/>
      <c r="G1256" s="44"/>
      <c r="H1256" s="44"/>
      <c r="I1256" s="44"/>
      <c r="J1256" s="76"/>
    </row>
    <row r="1257" spans="2:10" ht="15">
      <c r="B1257" s="76"/>
      <c r="C1257" s="76"/>
      <c r="D1257" s="44"/>
      <c r="E1257" s="44"/>
      <c r="F1257" s="44"/>
      <c r="G1257" s="44"/>
      <c r="H1257" s="44"/>
      <c r="I1257" s="44"/>
      <c r="J1257" s="76"/>
    </row>
    <row r="1258" spans="2:10" ht="15">
      <c r="B1258" s="76"/>
      <c r="C1258" s="76"/>
      <c r="D1258" s="44"/>
      <c r="E1258" s="44"/>
      <c r="F1258" s="44"/>
      <c r="G1258" s="44"/>
      <c r="H1258" s="44"/>
      <c r="I1258" s="44"/>
      <c r="J1258" s="76"/>
    </row>
    <row r="1259" spans="2:10" ht="15">
      <c r="B1259" s="76"/>
      <c r="C1259" s="76"/>
      <c r="D1259" s="44"/>
      <c r="E1259" s="44"/>
      <c r="F1259" s="44"/>
      <c r="G1259" s="44"/>
      <c r="H1259" s="44"/>
      <c r="I1259" s="44"/>
      <c r="J1259" s="76"/>
    </row>
    <row r="1260" spans="2:10" ht="15">
      <c r="B1260" s="76"/>
      <c r="C1260" s="76"/>
      <c r="D1260" s="44"/>
      <c r="E1260" s="44"/>
      <c r="F1260" s="44"/>
      <c r="G1260" s="44"/>
      <c r="H1260" s="44"/>
      <c r="I1260" s="44"/>
      <c r="J1260" s="76"/>
    </row>
    <row r="1261" spans="2:10" ht="15">
      <c r="B1261" s="76"/>
      <c r="C1261" s="76"/>
      <c r="D1261" s="44"/>
      <c r="E1261" s="44"/>
      <c r="F1261" s="44"/>
      <c r="G1261" s="44"/>
      <c r="H1261" s="44"/>
      <c r="I1261" s="44"/>
      <c r="J1261" s="76"/>
    </row>
    <row r="1262" spans="2:10" ht="15">
      <c r="B1262" s="76"/>
      <c r="C1262" s="76"/>
      <c r="D1262" s="44"/>
      <c r="E1262" s="44"/>
      <c r="F1262" s="44"/>
      <c r="G1262" s="44"/>
      <c r="H1262" s="44"/>
      <c r="I1262" s="44"/>
      <c r="J1262" s="76"/>
    </row>
    <row r="1263" spans="2:10" ht="15">
      <c r="B1263" s="76"/>
      <c r="C1263" s="76"/>
      <c r="D1263" s="44"/>
      <c r="E1263" s="44"/>
      <c r="F1263" s="44"/>
      <c r="G1263" s="44"/>
      <c r="H1263" s="44"/>
      <c r="I1263" s="44"/>
      <c r="J1263" s="76"/>
    </row>
    <row r="1264" spans="2:10" ht="15">
      <c r="B1264" s="76"/>
      <c r="C1264" s="76"/>
      <c r="D1264" s="44"/>
      <c r="E1264" s="44"/>
      <c r="F1264" s="44"/>
      <c r="G1264" s="44"/>
      <c r="H1264" s="44"/>
      <c r="I1264" s="44"/>
      <c r="J1264" s="76"/>
    </row>
    <row r="1265" spans="2:10" ht="15">
      <c r="B1265" s="76"/>
      <c r="C1265" s="76"/>
      <c r="D1265" s="44"/>
      <c r="E1265" s="44"/>
      <c r="F1265" s="44"/>
      <c r="G1265" s="44"/>
      <c r="H1265" s="44"/>
      <c r="I1265" s="44"/>
      <c r="J1265" s="76"/>
    </row>
    <row r="1266" spans="2:10" ht="15">
      <c r="B1266" s="76"/>
      <c r="C1266" s="76"/>
      <c r="D1266" s="44"/>
      <c r="E1266" s="44"/>
      <c r="F1266" s="44"/>
      <c r="G1266" s="44"/>
      <c r="H1266" s="44"/>
      <c r="I1266" s="44"/>
      <c r="J1266" s="76"/>
    </row>
    <row r="1267" spans="2:10" ht="15">
      <c r="B1267" s="76"/>
      <c r="C1267" s="76"/>
      <c r="D1267" s="44"/>
      <c r="E1267" s="44"/>
      <c r="F1267" s="44"/>
      <c r="G1267" s="44"/>
      <c r="H1267" s="44"/>
      <c r="I1267" s="44"/>
      <c r="J1267" s="76"/>
    </row>
    <row r="1268" spans="2:10" ht="15">
      <c r="B1268" s="76"/>
      <c r="C1268" s="76"/>
      <c r="D1268" s="44"/>
      <c r="E1268" s="44"/>
      <c r="F1268" s="44"/>
      <c r="G1268" s="44"/>
      <c r="H1268" s="44"/>
      <c r="I1268" s="44"/>
      <c r="J1268" s="76"/>
    </row>
    <row r="1269" spans="2:10" ht="15">
      <c r="B1269" s="76"/>
      <c r="C1269" s="76"/>
      <c r="D1269" s="44"/>
      <c r="E1269" s="44"/>
      <c r="F1269" s="44"/>
      <c r="G1269" s="44"/>
      <c r="H1269" s="44"/>
      <c r="I1269" s="44"/>
      <c r="J1269" s="76"/>
    </row>
    <row r="1270" spans="2:10" ht="15">
      <c r="B1270" s="76"/>
      <c r="C1270" s="76"/>
      <c r="D1270" s="44"/>
      <c r="E1270" s="44"/>
      <c r="F1270" s="44"/>
      <c r="G1270" s="44"/>
      <c r="H1270" s="44"/>
      <c r="I1270" s="44"/>
      <c r="J1270" s="76"/>
    </row>
    <row r="1271" spans="2:10" ht="15">
      <c r="B1271" s="76"/>
      <c r="C1271" s="76"/>
      <c r="D1271" s="44"/>
      <c r="E1271" s="44"/>
      <c r="F1271" s="44"/>
      <c r="G1271" s="44"/>
      <c r="H1271" s="44"/>
      <c r="I1271" s="44"/>
      <c r="J1271" s="76"/>
    </row>
    <row r="1272" spans="2:10" ht="15">
      <c r="B1272" s="76"/>
      <c r="C1272" s="76"/>
      <c r="D1272" s="44"/>
      <c r="E1272" s="44"/>
      <c r="F1272" s="44"/>
      <c r="G1272" s="44"/>
      <c r="H1272" s="44"/>
      <c r="I1272" s="44"/>
      <c r="J1272" s="76"/>
    </row>
    <row r="1273" spans="2:10" ht="15">
      <c r="B1273" s="76"/>
      <c r="C1273" s="76"/>
      <c r="D1273" s="44"/>
      <c r="E1273" s="44"/>
      <c r="F1273" s="44"/>
      <c r="G1273" s="44"/>
      <c r="H1273" s="44"/>
      <c r="I1273" s="44"/>
      <c r="J1273" s="76"/>
    </row>
    <row r="1274" spans="2:10" ht="15">
      <c r="B1274" s="76"/>
      <c r="C1274" s="76"/>
      <c r="D1274" s="44"/>
      <c r="E1274" s="44"/>
      <c r="F1274" s="44"/>
      <c r="G1274" s="44"/>
      <c r="H1274" s="44"/>
      <c r="I1274" s="44"/>
      <c r="J1274" s="76"/>
    </row>
    <row r="1275" spans="2:10" ht="15">
      <c r="B1275" s="76"/>
      <c r="C1275" s="76"/>
      <c r="D1275" s="44"/>
      <c r="E1275" s="44"/>
      <c r="F1275" s="44"/>
      <c r="G1275" s="44"/>
      <c r="H1275" s="44"/>
      <c r="I1275" s="44"/>
      <c r="J1275" s="76"/>
    </row>
    <row r="1276" spans="2:10" ht="15">
      <c r="B1276" s="76"/>
      <c r="C1276" s="76"/>
      <c r="D1276" s="44"/>
      <c r="E1276" s="44"/>
      <c r="F1276" s="44"/>
      <c r="G1276" s="44"/>
      <c r="H1276" s="44"/>
      <c r="I1276" s="44"/>
      <c r="J1276" s="76"/>
    </row>
    <row r="1277" spans="2:10" ht="15">
      <c r="B1277" s="76"/>
      <c r="C1277" s="76"/>
      <c r="D1277" s="44"/>
      <c r="E1277" s="44"/>
      <c r="F1277" s="44"/>
      <c r="G1277" s="44"/>
      <c r="H1277" s="44"/>
      <c r="I1277" s="44"/>
      <c r="J1277" s="76"/>
    </row>
    <row r="1278" spans="2:10" ht="15">
      <c r="B1278" s="76"/>
      <c r="C1278" s="76"/>
      <c r="D1278" s="44"/>
      <c r="E1278" s="44"/>
      <c r="F1278" s="44"/>
      <c r="G1278" s="44"/>
      <c r="H1278" s="44"/>
      <c r="I1278" s="44"/>
      <c r="J1278" s="76"/>
    </row>
    <row r="1279" spans="2:10" ht="15">
      <c r="B1279" s="76"/>
      <c r="C1279" s="76"/>
      <c r="D1279" s="44"/>
      <c r="E1279" s="44"/>
      <c r="F1279" s="44"/>
      <c r="G1279" s="44"/>
      <c r="H1279" s="44"/>
      <c r="I1279" s="44"/>
      <c r="J1279" s="76"/>
    </row>
    <row r="1280" spans="2:10" ht="15">
      <c r="B1280" s="76"/>
      <c r="C1280" s="76"/>
      <c r="D1280" s="44"/>
      <c r="E1280" s="44"/>
      <c r="F1280" s="44"/>
      <c r="G1280" s="44"/>
      <c r="H1280" s="44"/>
      <c r="I1280" s="44"/>
      <c r="J1280" s="76"/>
    </row>
    <row r="1281" spans="2:10" ht="15">
      <c r="B1281" s="76"/>
      <c r="C1281" s="76"/>
      <c r="D1281" s="44"/>
      <c r="E1281" s="44"/>
      <c r="F1281" s="44"/>
      <c r="G1281" s="44"/>
      <c r="H1281" s="44"/>
      <c r="I1281" s="44"/>
      <c r="J1281" s="76"/>
    </row>
    <row r="1282" spans="2:10" ht="15">
      <c r="B1282" s="76"/>
      <c r="C1282" s="76"/>
      <c r="D1282" s="44"/>
      <c r="E1282" s="44"/>
      <c r="F1282" s="44"/>
      <c r="G1282" s="44"/>
      <c r="H1282" s="44"/>
      <c r="I1282" s="44"/>
      <c r="J1282" s="76"/>
    </row>
    <row r="1283" spans="2:10" ht="15">
      <c r="B1283" s="76"/>
      <c r="C1283" s="76"/>
      <c r="D1283" s="44"/>
      <c r="E1283" s="44"/>
      <c r="F1283" s="44"/>
      <c r="G1283" s="44"/>
      <c r="H1283" s="44"/>
      <c r="I1283" s="44"/>
      <c r="J1283" s="76"/>
    </row>
    <row r="1284" spans="2:10" ht="15">
      <c r="B1284" s="76"/>
      <c r="C1284" s="76"/>
      <c r="D1284" s="44"/>
      <c r="E1284" s="44"/>
      <c r="F1284" s="44"/>
      <c r="G1284" s="44"/>
      <c r="H1284" s="44"/>
      <c r="I1284" s="44"/>
      <c r="J1284" s="76"/>
    </row>
    <row r="1285" spans="2:10" ht="15">
      <c r="B1285" s="76"/>
      <c r="C1285" s="76"/>
      <c r="D1285" s="44"/>
      <c r="E1285" s="44"/>
      <c r="F1285" s="44"/>
      <c r="G1285" s="44"/>
      <c r="H1285" s="44"/>
      <c r="I1285" s="44"/>
      <c r="J1285" s="76"/>
    </row>
    <row r="1286" spans="2:10" ht="15">
      <c r="B1286" s="76"/>
      <c r="C1286" s="76"/>
      <c r="D1286" s="44"/>
      <c r="E1286" s="44"/>
      <c r="F1286" s="44"/>
      <c r="G1286" s="44"/>
      <c r="H1286" s="44"/>
      <c r="I1286" s="44"/>
      <c r="J1286" s="76"/>
    </row>
    <row r="1287" spans="2:10" ht="15">
      <c r="B1287" s="76"/>
      <c r="C1287" s="76"/>
      <c r="D1287" s="44"/>
      <c r="E1287" s="44"/>
      <c r="F1287" s="44"/>
      <c r="G1287" s="44"/>
      <c r="H1287" s="44"/>
      <c r="I1287" s="44"/>
      <c r="J1287" s="76"/>
    </row>
    <row r="1288" spans="2:10" ht="15">
      <c r="B1288" s="76"/>
      <c r="C1288" s="76"/>
      <c r="D1288" s="44"/>
      <c r="E1288" s="44"/>
      <c r="F1288" s="44"/>
      <c r="G1288" s="44"/>
      <c r="H1288" s="44"/>
      <c r="I1288" s="44"/>
      <c r="J1288" s="76"/>
    </row>
    <row r="1289" spans="2:10" ht="15">
      <c r="B1289" s="76"/>
      <c r="C1289" s="76"/>
      <c r="D1289" s="44"/>
      <c r="E1289" s="44"/>
      <c r="F1289" s="44"/>
      <c r="G1289" s="44"/>
      <c r="H1289" s="44"/>
      <c r="I1289" s="44"/>
      <c r="J1289" s="76"/>
    </row>
    <row r="1290" spans="2:10" ht="15">
      <c r="B1290" s="76"/>
      <c r="C1290" s="76"/>
      <c r="D1290" s="44"/>
      <c r="E1290" s="44"/>
      <c r="F1290" s="44"/>
      <c r="G1290" s="44"/>
      <c r="H1290" s="44"/>
      <c r="I1290" s="44"/>
      <c r="J1290" s="76"/>
    </row>
    <row r="1291" spans="2:10" ht="15">
      <c r="B1291" s="76"/>
      <c r="C1291" s="76"/>
      <c r="D1291" s="44"/>
      <c r="E1291" s="44"/>
      <c r="F1291" s="44"/>
      <c r="G1291" s="44"/>
      <c r="H1291" s="44"/>
      <c r="I1291" s="44"/>
      <c r="J1291" s="76"/>
    </row>
    <row r="1292" spans="2:10" ht="15">
      <c r="B1292" s="76"/>
      <c r="C1292" s="76"/>
      <c r="D1292" s="44"/>
      <c r="E1292" s="44"/>
      <c r="F1292" s="44"/>
      <c r="G1292" s="44"/>
      <c r="H1292" s="44"/>
      <c r="I1292" s="44"/>
      <c r="J1292" s="76"/>
    </row>
    <row r="1293" spans="2:10" ht="15">
      <c r="B1293" s="76"/>
      <c r="C1293" s="76"/>
      <c r="D1293" s="44"/>
      <c r="E1293" s="44"/>
      <c r="F1293" s="44"/>
      <c r="G1293" s="44"/>
      <c r="H1293" s="44"/>
      <c r="I1293" s="44"/>
      <c r="J1293" s="76"/>
    </row>
    <row r="1294" spans="2:10" ht="15">
      <c r="B1294" s="76"/>
      <c r="C1294" s="76"/>
      <c r="D1294" s="44"/>
      <c r="E1294" s="44"/>
      <c r="F1294" s="44"/>
      <c r="G1294" s="44"/>
      <c r="H1294" s="44"/>
      <c r="I1294" s="44"/>
      <c r="J1294" s="76"/>
    </row>
    <row r="1295" spans="2:10" ht="15">
      <c r="B1295" s="76"/>
      <c r="C1295" s="76"/>
      <c r="D1295" s="44"/>
      <c r="E1295" s="44"/>
      <c r="F1295" s="44"/>
      <c r="G1295" s="44"/>
      <c r="H1295" s="44"/>
      <c r="I1295" s="44"/>
      <c r="J1295" s="76"/>
    </row>
    <row r="1296" spans="2:10" ht="15">
      <c r="B1296" s="76"/>
      <c r="C1296" s="76"/>
      <c r="D1296" s="44"/>
      <c r="E1296" s="44"/>
      <c r="F1296" s="44"/>
      <c r="G1296" s="44"/>
      <c r="H1296" s="44"/>
      <c r="I1296" s="44"/>
      <c r="J1296" s="76"/>
    </row>
    <row r="1297" spans="2:10" ht="15">
      <c r="B1297" s="76"/>
      <c r="C1297" s="76"/>
      <c r="D1297" s="44"/>
      <c r="E1297" s="44"/>
      <c r="F1297" s="44"/>
      <c r="G1297" s="44"/>
      <c r="H1297" s="44"/>
      <c r="I1297" s="44"/>
      <c r="J1297" s="76"/>
    </row>
    <row r="1298" spans="2:10" ht="15">
      <c r="B1298" s="76"/>
      <c r="C1298" s="76"/>
      <c r="D1298" s="44"/>
      <c r="E1298" s="44"/>
      <c r="F1298" s="44"/>
      <c r="G1298" s="44"/>
      <c r="H1298" s="44"/>
      <c r="I1298" s="44"/>
      <c r="J1298" s="76"/>
    </row>
    <row r="1299" spans="2:10" ht="15">
      <c r="B1299" s="76"/>
      <c r="C1299" s="76"/>
      <c r="D1299" s="44"/>
      <c r="E1299" s="44"/>
      <c r="F1299" s="44"/>
      <c r="G1299" s="44"/>
      <c r="H1299" s="44"/>
      <c r="I1299" s="44"/>
      <c r="J1299" s="76"/>
    </row>
    <row r="1300" spans="2:10" ht="15">
      <c r="B1300" s="76"/>
      <c r="C1300" s="76"/>
      <c r="D1300" s="44"/>
      <c r="E1300" s="44"/>
      <c r="F1300" s="44"/>
      <c r="G1300" s="44"/>
      <c r="H1300" s="44"/>
      <c r="I1300" s="44"/>
      <c r="J1300" s="76"/>
    </row>
    <row r="1301" spans="2:10" ht="15">
      <c r="B1301" s="76"/>
      <c r="C1301" s="76"/>
      <c r="D1301" s="44"/>
      <c r="E1301" s="44"/>
      <c r="F1301" s="44"/>
      <c r="G1301" s="44"/>
      <c r="H1301" s="44"/>
      <c r="I1301" s="44"/>
      <c r="J1301" s="76"/>
    </row>
    <row r="1302" spans="2:10" ht="15">
      <c r="B1302" s="76"/>
      <c r="C1302" s="76"/>
      <c r="D1302" s="44"/>
      <c r="E1302" s="44"/>
      <c r="F1302" s="44"/>
      <c r="G1302" s="44"/>
      <c r="H1302" s="44"/>
      <c r="I1302" s="44"/>
      <c r="J1302" s="76"/>
    </row>
    <row r="1303" spans="2:10" ht="15">
      <c r="B1303" s="76"/>
      <c r="C1303" s="76"/>
      <c r="D1303" s="44"/>
      <c r="E1303" s="44"/>
      <c r="F1303" s="44"/>
      <c r="G1303" s="44"/>
      <c r="H1303" s="44"/>
      <c r="I1303" s="44"/>
      <c r="J1303" s="76"/>
    </row>
    <row r="1304" spans="2:10" ht="15">
      <c r="B1304" s="76"/>
      <c r="C1304" s="76"/>
      <c r="D1304" s="44"/>
      <c r="E1304" s="44"/>
      <c r="F1304" s="44"/>
      <c r="G1304" s="44"/>
      <c r="H1304" s="44"/>
      <c r="I1304" s="44"/>
      <c r="J1304" s="76"/>
    </row>
    <row r="1305" spans="2:10" ht="15">
      <c r="B1305" s="76"/>
      <c r="C1305" s="76"/>
      <c r="D1305" s="44"/>
      <c r="E1305" s="44"/>
      <c r="F1305" s="44"/>
      <c r="G1305" s="44"/>
      <c r="H1305" s="44"/>
      <c r="I1305" s="44"/>
      <c r="J1305" s="76"/>
    </row>
    <row r="1306" spans="2:10" ht="15">
      <c r="B1306" s="76"/>
      <c r="C1306" s="76"/>
      <c r="D1306" s="44"/>
      <c r="E1306" s="44"/>
      <c r="F1306" s="44"/>
      <c r="G1306" s="44"/>
      <c r="H1306" s="44"/>
      <c r="I1306" s="44"/>
      <c r="J1306" s="76"/>
    </row>
    <row r="1307" spans="2:10" ht="15">
      <c r="B1307" s="76"/>
      <c r="C1307" s="76"/>
      <c r="D1307" s="44"/>
      <c r="E1307" s="44"/>
      <c r="F1307" s="44"/>
      <c r="G1307" s="44"/>
      <c r="H1307" s="44"/>
      <c r="I1307" s="44"/>
      <c r="J1307" s="76"/>
    </row>
    <row r="1308" spans="2:10" ht="15">
      <c r="B1308" s="76"/>
      <c r="C1308" s="76"/>
      <c r="D1308" s="44"/>
      <c r="E1308" s="44"/>
      <c r="F1308" s="44"/>
      <c r="G1308" s="44"/>
      <c r="H1308" s="44"/>
      <c r="I1308" s="44"/>
      <c r="J1308" s="76"/>
    </row>
    <row r="1309" spans="2:10" ht="15">
      <c r="B1309" s="76"/>
      <c r="C1309" s="76"/>
      <c r="D1309" s="44"/>
      <c r="E1309" s="44"/>
      <c r="F1309" s="44"/>
      <c r="G1309" s="44"/>
      <c r="H1309" s="44"/>
      <c r="I1309" s="44"/>
      <c r="J1309" s="76"/>
    </row>
    <row r="1310" spans="2:10" ht="15">
      <c r="B1310" s="76"/>
      <c r="C1310" s="76"/>
      <c r="D1310" s="44"/>
      <c r="E1310" s="44"/>
      <c r="F1310" s="44"/>
      <c r="G1310" s="44"/>
      <c r="H1310" s="44"/>
      <c r="I1310" s="44"/>
      <c r="J1310" s="76"/>
    </row>
    <row r="1311" spans="2:10" ht="15">
      <c r="B1311" s="76"/>
      <c r="C1311" s="76"/>
      <c r="D1311" s="44"/>
      <c r="E1311" s="44"/>
      <c r="F1311" s="44"/>
      <c r="G1311" s="44"/>
      <c r="H1311" s="44"/>
      <c r="I1311" s="44"/>
      <c r="J1311" s="76"/>
    </row>
    <row r="1312" spans="2:10" ht="15">
      <c r="B1312" s="76"/>
      <c r="C1312" s="76"/>
      <c r="D1312" s="44"/>
      <c r="E1312" s="44"/>
      <c r="F1312" s="44"/>
      <c r="G1312" s="44"/>
      <c r="H1312" s="44"/>
      <c r="I1312" s="44"/>
      <c r="J1312" s="76"/>
    </row>
    <row r="1313" spans="2:10" ht="15">
      <c r="B1313" s="76"/>
      <c r="C1313" s="76"/>
      <c r="D1313" s="44"/>
      <c r="E1313" s="44"/>
      <c r="F1313" s="44"/>
      <c r="G1313" s="44"/>
      <c r="H1313" s="44"/>
      <c r="I1313" s="44"/>
      <c r="J1313" s="76"/>
    </row>
    <row r="1314" spans="2:10" ht="15">
      <c r="B1314" s="76"/>
      <c r="C1314" s="76"/>
      <c r="D1314" s="44"/>
      <c r="E1314" s="44"/>
      <c r="F1314" s="44"/>
      <c r="G1314" s="44"/>
      <c r="H1314" s="44"/>
      <c r="I1314" s="44"/>
      <c r="J1314" s="76"/>
    </row>
    <row r="1315" spans="2:10" ht="15">
      <c r="B1315" s="76"/>
      <c r="C1315" s="76"/>
      <c r="D1315" s="44"/>
      <c r="E1315" s="44"/>
      <c r="F1315" s="44"/>
      <c r="G1315" s="44"/>
      <c r="H1315" s="44"/>
      <c r="I1315" s="44"/>
      <c r="J1315" s="76"/>
    </row>
    <row r="1316" spans="2:10" ht="15">
      <c r="B1316" s="76"/>
      <c r="C1316" s="76"/>
      <c r="D1316" s="44"/>
      <c r="E1316" s="44"/>
      <c r="F1316" s="44"/>
      <c r="G1316" s="44"/>
      <c r="H1316" s="44"/>
      <c r="I1316" s="44"/>
      <c r="J1316" s="76"/>
    </row>
    <row r="1317" spans="2:10" ht="15">
      <c r="B1317" s="76"/>
      <c r="C1317" s="76"/>
      <c r="D1317" s="44"/>
      <c r="E1317" s="44"/>
      <c r="F1317" s="44"/>
      <c r="G1317" s="44"/>
      <c r="H1317" s="44"/>
      <c r="I1317" s="44"/>
      <c r="J1317" s="76"/>
    </row>
    <row r="1318" spans="2:10" ht="15">
      <c r="B1318" s="76"/>
      <c r="C1318" s="76"/>
      <c r="D1318" s="44"/>
      <c r="E1318" s="44"/>
      <c r="F1318" s="44"/>
      <c r="G1318" s="44"/>
      <c r="H1318" s="44"/>
      <c r="I1318" s="44"/>
      <c r="J1318" s="76"/>
    </row>
    <row r="1319" spans="2:10" ht="15">
      <c r="B1319" s="76"/>
      <c r="C1319" s="76"/>
      <c r="D1319" s="44"/>
      <c r="E1319" s="44"/>
      <c r="F1319" s="44"/>
      <c r="G1319" s="44"/>
      <c r="H1319" s="44"/>
      <c r="I1319" s="44"/>
      <c r="J1319" s="76"/>
    </row>
    <row r="1320" spans="2:10" ht="15">
      <c r="B1320" s="76"/>
      <c r="C1320" s="76"/>
      <c r="D1320" s="44"/>
      <c r="E1320" s="44"/>
      <c r="F1320" s="44"/>
      <c r="G1320" s="44"/>
      <c r="H1320" s="44"/>
      <c r="I1320" s="44"/>
      <c r="J1320" s="76"/>
    </row>
    <row r="1321" spans="2:10" ht="15">
      <c r="B1321" s="76"/>
      <c r="C1321" s="76"/>
      <c r="D1321" s="44"/>
      <c r="E1321" s="44"/>
      <c r="F1321" s="44"/>
      <c r="G1321" s="44"/>
      <c r="H1321" s="44"/>
      <c r="I1321" s="44"/>
      <c r="J1321" s="76"/>
    </row>
    <row r="1322" spans="2:10" ht="15">
      <c r="B1322" s="76"/>
      <c r="C1322" s="76"/>
      <c r="D1322" s="44"/>
      <c r="E1322" s="44"/>
      <c r="F1322" s="44"/>
      <c r="G1322" s="44"/>
      <c r="H1322" s="44"/>
      <c r="I1322" s="44"/>
      <c r="J1322" s="76"/>
    </row>
    <row r="1323" spans="2:10" ht="15">
      <c r="B1323" s="76"/>
      <c r="C1323" s="76"/>
      <c r="D1323" s="44"/>
      <c r="E1323" s="44"/>
      <c r="F1323" s="44"/>
      <c r="G1323" s="44"/>
      <c r="H1323" s="44"/>
      <c r="I1323" s="44"/>
      <c r="J1323" s="76"/>
    </row>
    <row r="1324" spans="2:10" ht="15">
      <c r="B1324" s="76"/>
      <c r="C1324" s="76"/>
      <c r="D1324" s="44"/>
      <c r="E1324" s="44"/>
      <c r="F1324" s="44"/>
      <c r="G1324" s="44"/>
      <c r="H1324" s="44"/>
      <c r="I1324" s="44"/>
      <c r="J1324" s="76"/>
    </row>
    <row r="1325" spans="2:10" ht="15">
      <c r="B1325" s="76"/>
      <c r="C1325" s="76"/>
      <c r="D1325" s="44"/>
      <c r="E1325" s="44"/>
      <c r="F1325" s="44"/>
      <c r="G1325" s="44"/>
      <c r="H1325" s="44"/>
      <c r="I1325" s="44"/>
      <c r="J1325" s="76"/>
    </row>
    <row r="1326" spans="2:10" ht="15">
      <c r="B1326" s="76"/>
      <c r="C1326" s="76"/>
      <c r="D1326" s="44"/>
      <c r="E1326" s="44"/>
      <c r="F1326" s="44"/>
      <c r="G1326" s="44"/>
      <c r="H1326" s="44"/>
      <c r="I1326" s="44"/>
      <c r="J1326" s="76"/>
    </row>
    <row r="1327" spans="2:10" ht="15">
      <c r="B1327" s="76"/>
      <c r="C1327" s="76"/>
      <c r="D1327" s="44"/>
      <c r="E1327" s="44"/>
      <c r="F1327" s="44"/>
      <c r="G1327" s="44"/>
      <c r="H1327" s="44"/>
      <c r="I1327" s="44"/>
      <c r="J1327" s="76"/>
    </row>
    <row r="1328" spans="2:10" ht="15">
      <c r="B1328" s="76"/>
      <c r="C1328" s="76"/>
      <c r="D1328" s="44"/>
      <c r="E1328" s="44"/>
      <c r="F1328" s="44"/>
      <c r="G1328" s="44"/>
      <c r="H1328" s="44"/>
      <c r="I1328" s="44"/>
      <c r="J1328" s="76"/>
    </row>
    <row r="1329" spans="2:10" ht="15">
      <c r="B1329" s="76"/>
      <c r="C1329" s="76"/>
      <c r="D1329" s="44"/>
      <c r="E1329" s="44"/>
      <c r="F1329" s="44"/>
      <c r="G1329" s="44"/>
      <c r="H1329" s="44"/>
      <c r="I1329" s="44"/>
      <c r="J1329" s="76"/>
    </row>
    <row r="1330" spans="2:10" ht="15">
      <c r="B1330" s="76"/>
      <c r="C1330" s="76"/>
      <c r="D1330" s="44"/>
      <c r="E1330" s="44"/>
      <c r="F1330" s="44"/>
      <c r="G1330" s="44"/>
      <c r="H1330" s="44"/>
      <c r="I1330" s="44"/>
      <c r="J1330" s="76"/>
    </row>
    <row r="1331" spans="2:10" ht="15">
      <c r="B1331" s="76"/>
      <c r="C1331" s="76"/>
      <c r="D1331" s="44"/>
      <c r="E1331" s="44"/>
      <c r="F1331" s="44"/>
      <c r="G1331" s="44"/>
      <c r="H1331" s="44"/>
      <c r="I1331" s="44"/>
      <c r="J1331" s="76"/>
    </row>
    <row r="1332" spans="2:10" ht="15">
      <c r="B1332" s="76"/>
      <c r="C1332" s="76"/>
      <c r="D1332" s="44"/>
      <c r="E1332" s="44"/>
      <c r="F1332" s="44"/>
      <c r="G1332" s="44"/>
      <c r="H1332" s="44"/>
      <c r="I1332" s="44"/>
      <c r="J1332" s="76"/>
    </row>
    <row r="1333" spans="2:10" ht="15">
      <c r="B1333" s="76"/>
      <c r="C1333" s="76"/>
      <c r="D1333" s="44"/>
      <c r="E1333" s="44"/>
      <c r="F1333" s="44"/>
      <c r="G1333" s="44"/>
      <c r="H1333" s="44"/>
      <c r="I1333" s="44"/>
      <c r="J1333" s="76"/>
    </row>
    <row r="1334" spans="2:10" ht="15">
      <c r="B1334" s="76"/>
      <c r="C1334" s="76"/>
      <c r="D1334" s="44"/>
      <c r="E1334" s="44"/>
      <c r="F1334" s="44"/>
      <c r="G1334" s="44"/>
      <c r="H1334" s="44"/>
      <c r="I1334" s="44"/>
      <c r="J1334" s="76"/>
    </row>
    <row r="1335" spans="2:10" ht="15">
      <c r="B1335" s="76"/>
      <c r="C1335" s="76"/>
      <c r="D1335" s="44"/>
      <c r="E1335" s="44"/>
      <c r="F1335" s="44"/>
      <c r="G1335" s="44"/>
      <c r="H1335" s="44"/>
      <c r="I1335" s="44"/>
      <c r="J1335" s="76"/>
    </row>
    <row r="1336" spans="2:10" ht="15">
      <c r="B1336" s="76"/>
      <c r="C1336" s="76"/>
      <c r="D1336" s="44"/>
      <c r="E1336" s="44"/>
      <c r="F1336" s="44"/>
      <c r="G1336" s="44"/>
      <c r="H1336" s="44"/>
      <c r="I1336" s="44"/>
      <c r="J1336" s="76"/>
    </row>
    <row r="1337" spans="2:10" ht="15">
      <c r="B1337" s="76"/>
      <c r="C1337" s="76"/>
      <c r="D1337" s="44"/>
      <c r="E1337" s="44"/>
      <c r="F1337" s="44"/>
      <c r="G1337" s="44"/>
      <c r="H1337" s="44"/>
      <c r="I1337" s="44"/>
      <c r="J1337" s="76"/>
    </row>
    <row r="1338" spans="2:10" ht="15">
      <c r="B1338" s="76"/>
      <c r="C1338" s="76"/>
      <c r="D1338" s="44"/>
      <c r="E1338" s="44"/>
      <c r="F1338" s="44"/>
      <c r="G1338" s="44"/>
      <c r="H1338" s="44"/>
      <c r="I1338" s="44"/>
      <c r="J1338" s="76"/>
    </row>
    <row r="1339" spans="2:10" ht="15">
      <c r="B1339" s="76"/>
      <c r="C1339" s="76"/>
      <c r="D1339" s="44"/>
      <c r="E1339" s="44"/>
      <c r="F1339" s="44"/>
      <c r="G1339" s="44"/>
      <c r="H1339" s="44"/>
      <c r="I1339" s="44"/>
      <c r="J1339" s="76"/>
    </row>
    <row r="1340" spans="2:10" ht="15">
      <c r="B1340" s="76"/>
      <c r="C1340" s="76"/>
      <c r="D1340" s="44"/>
      <c r="E1340" s="44"/>
      <c r="F1340" s="44"/>
      <c r="G1340" s="44"/>
      <c r="H1340" s="44"/>
      <c r="I1340" s="44"/>
      <c r="J1340" s="76"/>
    </row>
    <row r="1341" spans="2:10" ht="15">
      <c r="B1341" s="76"/>
      <c r="C1341" s="76"/>
      <c r="D1341" s="44"/>
      <c r="E1341" s="44"/>
      <c r="F1341" s="44"/>
      <c r="G1341" s="44"/>
      <c r="H1341" s="44"/>
      <c r="I1341" s="44"/>
      <c r="J1341" s="76"/>
    </row>
    <row r="1342" spans="2:10" ht="15">
      <c r="B1342" s="76"/>
      <c r="C1342" s="76"/>
      <c r="D1342" s="44"/>
      <c r="E1342" s="44"/>
      <c r="F1342" s="44"/>
      <c r="G1342" s="44"/>
      <c r="H1342" s="44"/>
      <c r="I1342" s="44"/>
      <c r="J1342" s="76"/>
    </row>
    <row r="1343" spans="2:10" ht="15">
      <c r="B1343" s="76"/>
      <c r="C1343" s="76"/>
      <c r="D1343" s="44"/>
      <c r="E1343" s="44"/>
      <c r="F1343" s="44"/>
      <c r="G1343" s="44"/>
      <c r="H1343" s="44"/>
      <c r="I1343" s="44"/>
      <c r="J1343" s="76"/>
    </row>
    <row r="1344" spans="2:10" ht="15">
      <c r="B1344" s="76"/>
      <c r="C1344" s="76"/>
      <c r="D1344" s="44"/>
      <c r="E1344" s="44"/>
      <c r="F1344" s="44"/>
      <c r="G1344" s="44"/>
      <c r="H1344" s="44"/>
      <c r="I1344" s="44"/>
      <c r="J1344" s="76"/>
    </row>
    <row r="1345" spans="2:10" ht="15">
      <c r="B1345" s="76"/>
      <c r="C1345" s="76"/>
      <c r="D1345" s="44"/>
      <c r="E1345" s="44"/>
      <c r="F1345" s="44"/>
      <c r="G1345" s="44"/>
      <c r="H1345" s="44"/>
      <c r="I1345" s="44"/>
      <c r="J1345" s="76"/>
    </row>
    <row r="1346" spans="2:10" ht="15">
      <c r="B1346" s="76"/>
      <c r="C1346" s="76"/>
      <c r="D1346" s="44"/>
      <c r="E1346" s="44"/>
      <c r="F1346" s="44"/>
      <c r="G1346" s="44"/>
      <c r="H1346" s="44"/>
      <c r="I1346" s="44"/>
      <c r="J1346" s="76"/>
    </row>
    <row r="1347" spans="2:10" ht="15">
      <c r="B1347" s="76"/>
      <c r="C1347" s="76"/>
      <c r="D1347" s="44"/>
      <c r="E1347" s="44"/>
      <c r="F1347" s="44"/>
      <c r="G1347" s="44"/>
      <c r="H1347" s="44"/>
      <c r="I1347" s="44"/>
      <c r="J1347" s="76"/>
    </row>
    <row r="1348" spans="2:10" ht="15">
      <c r="B1348" s="76"/>
      <c r="C1348" s="76"/>
      <c r="D1348" s="44"/>
      <c r="E1348" s="44"/>
      <c r="F1348" s="44"/>
      <c r="G1348" s="44"/>
      <c r="H1348" s="44"/>
      <c r="I1348" s="44"/>
      <c r="J1348" s="76"/>
    </row>
    <row r="1349" spans="2:10" ht="15">
      <c r="B1349" s="76"/>
      <c r="C1349" s="76"/>
      <c r="D1349" s="44"/>
      <c r="E1349" s="44"/>
      <c r="F1349" s="44"/>
      <c r="G1349" s="44"/>
      <c r="H1349" s="44"/>
      <c r="I1349" s="44"/>
      <c r="J1349" s="76"/>
    </row>
    <row r="1350" spans="2:10" ht="15">
      <c r="B1350" s="76"/>
      <c r="C1350" s="76"/>
      <c r="D1350" s="44"/>
      <c r="E1350" s="44"/>
      <c r="F1350" s="44"/>
      <c r="G1350" s="44"/>
      <c r="H1350" s="44"/>
      <c r="I1350" s="44"/>
      <c r="J1350" s="76"/>
    </row>
    <row r="1351" spans="2:10" ht="15">
      <c r="B1351" s="76"/>
      <c r="C1351" s="76"/>
      <c r="D1351" s="44"/>
      <c r="E1351" s="44"/>
      <c r="F1351" s="44"/>
      <c r="G1351" s="44"/>
      <c r="H1351" s="44"/>
      <c r="I1351" s="44"/>
      <c r="J1351" s="76"/>
    </row>
    <row r="1352" spans="2:10" ht="15">
      <c r="B1352" s="76"/>
      <c r="C1352" s="76"/>
      <c r="D1352" s="44"/>
      <c r="E1352" s="44"/>
      <c r="F1352" s="44"/>
      <c r="G1352" s="44"/>
      <c r="H1352" s="44"/>
      <c r="I1352" s="44"/>
      <c r="J1352" s="76"/>
    </row>
    <row r="1353" spans="2:10" ht="15">
      <c r="B1353" s="76"/>
      <c r="C1353" s="76"/>
      <c r="D1353" s="44"/>
      <c r="E1353" s="44"/>
      <c r="F1353" s="44"/>
      <c r="G1353" s="44"/>
      <c r="H1353" s="44"/>
      <c r="I1353" s="44"/>
      <c r="J1353" s="76"/>
    </row>
    <row r="1354" spans="2:10" ht="15">
      <c r="B1354" s="76"/>
      <c r="C1354" s="76"/>
      <c r="D1354" s="44"/>
      <c r="E1354" s="44"/>
      <c r="F1354" s="44"/>
      <c r="G1354" s="44"/>
      <c r="H1354" s="44"/>
      <c r="I1354" s="44"/>
      <c r="J1354" s="76"/>
    </row>
    <row r="1355" spans="2:10" ht="15">
      <c r="B1355" s="76"/>
      <c r="C1355" s="76"/>
      <c r="D1355" s="44"/>
      <c r="E1355" s="44"/>
      <c r="F1355" s="44"/>
      <c r="G1355" s="44"/>
      <c r="H1355" s="44"/>
      <c r="I1355" s="44"/>
      <c r="J1355" s="76"/>
    </row>
    <row r="1356" spans="2:10" ht="15">
      <c r="B1356" s="76"/>
      <c r="C1356" s="76"/>
      <c r="D1356" s="44"/>
      <c r="E1356" s="44"/>
      <c r="F1356" s="44"/>
      <c r="G1356" s="44"/>
      <c r="H1356" s="44"/>
      <c r="I1356" s="44"/>
      <c r="J1356" s="76"/>
    </row>
    <row r="1357" spans="2:10" ht="15">
      <c r="B1357" s="76"/>
      <c r="C1357" s="76"/>
      <c r="D1357" s="44"/>
      <c r="E1357" s="44"/>
      <c r="F1357" s="44"/>
      <c r="G1357" s="44"/>
      <c r="H1357" s="44"/>
      <c r="I1357" s="44"/>
      <c r="J1357" s="76"/>
    </row>
    <row r="1358" spans="2:10" ht="15">
      <c r="B1358" s="76"/>
      <c r="C1358" s="76"/>
      <c r="D1358" s="44"/>
      <c r="E1358" s="44"/>
      <c r="F1358" s="44"/>
      <c r="G1358" s="44"/>
      <c r="H1358" s="44"/>
      <c r="I1358" s="44"/>
      <c r="J1358" s="76"/>
    </row>
    <row r="1359" spans="2:10" ht="15">
      <c r="B1359" s="76"/>
      <c r="C1359" s="76"/>
      <c r="D1359" s="44"/>
      <c r="E1359" s="44"/>
      <c r="F1359" s="44"/>
      <c r="G1359" s="44"/>
      <c r="H1359" s="44"/>
      <c r="I1359" s="44"/>
      <c r="J1359" s="76"/>
    </row>
    <row r="1360" spans="2:10" ht="15">
      <c r="B1360" s="76"/>
      <c r="C1360" s="76"/>
      <c r="D1360" s="44"/>
      <c r="E1360" s="44"/>
      <c r="F1360" s="44"/>
      <c r="G1360" s="44"/>
      <c r="H1360" s="44"/>
      <c r="I1360" s="44"/>
      <c r="J1360" s="76"/>
    </row>
    <row r="1361" spans="2:10" ht="15">
      <c r="B1361" s="76"/>
      <c r="C1361" s="76"/>
      <c r="D1361" s="44"/>
      <c r="E1361" s="44"/>
      <c r="F1361" s="44"/>
      <c r="G1361" s="44"/>
      <c r="H1361" s="44"/>
      <c r="I1361" s="44"/>
      <c r="J1361" s="76"/>
    </row>
    <row r="1362" spans="2:10" ht="15">
      <c r="B1362" s="76"/>
      <c r="C1362" s="76"/>
      <c r="D1362" s="44"/>
      <c r="E1362" s="44"/>
      <c r="F1362" s="44"/>
      <c r="G1362" s="44"/>
      <c r="H1362" s="44"/>
      <c r="I1362" s="44"/>
      <c r="J1362" s="76"/>
    </row>
    <row r="1363" spans="2:10" ht="15">
      <c r="B1363" s="76"/>
      <c r="C1363" s="76"/>
      <c r="D1363" s="44"/>
      <c r="E1363" s="44"/>
      <c r="F1363" s="44"/>
      <c r="G1363" s="44"/>
      <c r="H1363" s="44"/>
      <c r="I1363" s="44"/>
      <c r="J1363" s="76"/>
    </row>
    <row r="1364" spans="2:10" ht="15">
      <c r="B1364" s="76"/>
      <c r="C1364" s="76"/>
      <c r="D1364" s="44"/>
      <c r="E1364" s="44"/>
      <c r="F1364" s="44"/>
      <c r="G1364" s="44"/>
      <c r="H1364" s="44"/>
      <c r="I1364" s="44"/>
      <c r="J1364" s="76"/>
    </row>
    <row r="1365" spans="2:10" ht="15">
      <c r="B1365" s="76"/>
      <c r="C1365" s="76"/>
      <c r="D1365" s="44"/>
      <c r="E1365" s="44"/>
      <c r="F1365" s="44"/>
      <c r="G1365" s="44"/>
      <c r="H1365" s="44"/>
      <c r="I1365" s="44"/>
      <c r="J1365" s="76"/>
    </row>
    <row r="1366" spans="2:10" ht="15">
      <c r="B1366" s="76"/>
      <c r="C1366" s="76"/>
      <c r="D1366" s="44"/>
      <c r="E1366" s="44"/>
      <c r="F1366" s="44"/>
      <c r="G1366" s="44"/>
      <c r="H1366" s="44"/>
      <c r="I1366" s="44"/>
      <c r="J1366" s="76"/>
    </row>
    <row r="1367" spans="2:10" ht="15">
      <c r="B1367" s="76"/>
      <c r="C1367" s="76"/>
      <c r="D1367" s="44"/>
      <c r="E1367" s="44"/>
      <c r="F1367" s="44"/>
      <c r="G1367" s="44"/>
      <c r="H1367" s="44"/>
      <c r="I1367" s="44"/>
      <c r="J1367" s="76"/>
    </row>
    <row r="1368" spans="2:10" ht="15">
      <c r="B1368" s="76"/>
      <c r="C1368" s="76"/>
      <c r="D1368" s="44"/>
      <c r="E1368" s="44"/>
      <c r="F1368" s="44"/>
      <c r="G1368" s="44"/>
      <c r="H1368" s="44"/>
      <c r="I1368" s="44"/>
      <c r="J1368" s="76"/>
    </row>
    <row r="1369" spans="2:10" ht="15">
      <c r="B1369" s="76"/>
      <c r="C1369" s="76"/>
      <c r="D1369" s="44"/>
      <c r="E1369" s="44"/>
      <c r="F1369" s="44"/>
      <c r="G1369" s="44"/>
      <c r="H1369" s="44"/>
      <c r="I1369" s="44"/>
      <c r="J1369" s="76"/>
    </row>
    <row r="1370" spans="2:10" ht="15">
      <c r="B1370" s="76"/>
      <c r="C1370" s="76"/>
      <c r="D1370" s="44"/>
      <c r="E1370" s="44"/>
      <c r="F1370" s="44"/>
      <c r="G1370" s="44"/>
      <c r="H1370" s="44"/>
      <c r="I1370" s="44"/>
      <c r="J1370" s="76"/>
    </row>
    <row r="1371" spans="2:10" ht="15">
      <c r="B1371" s="76"/>
      <c r="C1371" s="76"/>
      <c r="D1371" s="44"/>
      <c r="E1371" s="44"/>
      <c r="F1371" s="44"/>
      <c r="G1371" s="44"/>
      <c r="H1371" s="44"/>
      <c r="I1371" s="44"/>
      <c r="J1371" s="76"/>
    </row>
    <row r="1372" spans="2:10" ht="15">
      <c r="B1372" s="76"/>
      <c r="C1372" s="76"/>
      <c r="D1372" s="44"/>
      <c r="E1372" s="44"/>
      <c r="F1372" s="44"/>
      <c r="G1372" s="44"/>
      <c r="H1372" s="44"/>
      <c r="I1372" s="44"/>
      <c r="J1372" s="76"/>
    </row>
    <row r="1373" spans="2:10" ht="15">
      <c r="B1373" s="76"/>
      <c r="C1373" s="76"/>
      <c r="D1373" s="44"/>
      <c r="E1373" s="44"/>
      <c r="F1373" s="44"/>
      <c r="G1373" s="44"/>
      <c r="H1373" s="44"/>
      <c r="I1373" s="44"/>
      <c r="J1373" s="76"/>
    </row>
    <row r="1374" spans="2:10" ht="15">
      <c r="B1374" s="76"/>
      <c r="C1374" s="76"/>
      <c r="D1374" s="44"/>
      <c r="E1374" s="44"/>
      <c r="F1374" s="44"/>
      <c r="G1374" s="44"/>
      <c r="H1374" s="44"/>
      <c r="I1374" s="44"/>
      <c r="J1374" s="76"/>
    </row>
    <row r="1375" spans="2:10" ht="15">
      <c r="B1375" s="76"/>
      <c r="C1375" s="76"/>
      <c r="D1375" s="44"/>
      <c r="E1375" s="44"/>
      <c r="F1375" s="44"/>
      <c r="G1375" s="44"/>
      <c r="H1375" s="44"/>
      <c r="I1375" s="44"/>
      <c r="J1375" s="76"/>
    </row>
    <row r="1376" spans="2:10" ht="15">
      <c r="B1376" s="76"/>
      <c r="C1376" s="76"/>
      <c r="D1376" s="44"/>
      <c r="E1376" s="44"/>
      <c r="F1376" s="44"/>
      <c r="G1376" s="44"/>
      <c r="H1376" s="44"/>
      <c r="I1376" s="44"/>
      <c r="J1376" s="76"/>
    </row>
    <row r="1377" spans="2:10" ht="15">
      <c r="B1377" s="76"/>
      <c r="C1377" s="76"/>
      <c r="D1377" s="44"/>
      <c r="E1377" s="44"/>
      <c r="F1377" s="44"/>
      <c r="G1377" s="44"/>
      <c r="H1377" s="44"/>
      <c r="I1377" s="44"/>
      <c r="J1377" s="76"/>
    </row>
    <row r="1378" spans="2:10" ht="15">
      <c r="B1378" s="76"/>
      <c r="C1378" s="76"/>
      <c r="D1378" s="44"/>
      <c r="E1378" s="44"/>
      <c r="F1378" s="44"/>
      <c r="G1378" s="44"/>
      <c r="H1378" s="44"/>
      <c r="I1378" s="44"/>
      <c r="J1378" s="76"/>
    </row>
    <row r="1379" spans="2:10" ht="15">
      <c r="B1379" s="76"/>
      <c r="C1379" s="76"/>
      <c r="D1379" s="44"/>
      <c r="E1379" s="44"/>
      <c r="F1379" s="44"/>
      <c r="G1379" s="44"/>
      <c r="H1379" s="44"/>
      <c r="I1379" s="44"/>
      <c r="J1379" s="76"/>
    </row>
    <row r="1380" spans="2:10" ht="15">
      <c r="B1380" s="76"/>
      <c r="C1380" s="76"/>
      <c r="D1380" s="44"/>
      <c r="E1380" s="44"/>
      <c r="F1380" s="44"/>
      <c r="G1380" s="44"/>
      <c r="H1380" s="44"/>
      <c r="I1380" s="44"/>
      <c r="J1380" s="76"/>
    </row>
    <row r="1381" spans="2:10" ht="15">
      <c r="B1381" s="76"/>
      <c r="C1381" s="76"/>
      <c r="D1381" s="44"/>
      <c r="E1381" s="44"/>
      <c r="F1381" s="44"/>
      <c r="G1381" s="44"/>
      <c r="H1381" s="44"/>
      <c r="I1381" s="44"/>
      <c r="J1381" s="76"/>
    </row>
    <row r="1382" spans="2:10" ht="15">
      <c r="B1382" s="76"/>
      <c r="C1382" s="76"/>
      <c r="D1382" s="44"/>
      <c r="E1382" s="44"/>
      <c r="F1382" s="44"/>
      <c r="G1382" s="44"/>
      <c r="H1382" s="44"/>
      <c r="I1382" s="44"/>
      <c r="J1382" s="76"/>
    </row>
    <row r="1383" spans="2:10" ht="15">
      <c r="B1383" s="76"/>
      <c r="C1383" s="76"/>
      <c r="D1383" s="44"/>
      <c r="E1383" s="44"/>
      <c r="F1383" s="44"/>
      <c r="G1383" s="44"/>
      <c r="H1383" s="44"/>
      <c r="I1383" s="44"/>
      <c r="J1383" s="76"/>
    </row>
    <row r="1384" spans="2:10" ht="15">
      <c r="B1384" s="76"/>
      <c r="C1384" s="76"/>
      <c r="D1384" s="44"/>
      <c r="E1384" s="44"/>
      <c r="F1384" s="44"/>
      <c r="G1384" s="44"/>
      <c r="H1384" s="44"/>
      <c r="I1384" s="44"/>
      <c r="J1384" s="76"/>
    </row>
    <row r="1385" spans="2:10" ht="15">
      <c r="B1385" s="76"/>
      <c r="C1385" s="76"/>
      <c r="D1385" s="44"/>
      <c r="E1385" s="44"/>
      <c r="F1385" s="44"/>
      <c r="G1385" s="44"/>
      <c r="H1385" s="44"/>
      <c r="I1385" s="44"/>
      <c r="J1385" s="76"/>
    </row>
    <row r="1386" spans="2:10" ht="15">
      <c r="B1386" s="76"/>
      <c r="C1386" s="76"/>
      <c r="D1386" s="44"/>
      <c r="E1386" s="44"/>
      <c r="F1386" s="44"/>
      <c r="G1386" s="44"/>
      <c r="H1386" s="44"/>
      <c r="I1386" s="44"/>
      <c r="J1386" s="76"/>
    </row>
    <row r="1387" spans="2:10" ht="15">
      <c r="B1387" s="76"/>
      <c r="C1387" s="76"/>
      <c r="D1387" s="44"/>
      <c r="E1387" s="44"/>
      <c r="F1387" s="44"/>
      <c r="G1387" s="44"/>
      <c r="H1387" s="44"/>
      <c r="I1387" s="44"/>
      <c r="J1387" s="76"/>
    </row>
    <row r="1388" spans="2:10" ht="15">
      <c r="B1388" s="76"/>
      <c r="C1388" s="76"/>
      <c r="D1388" s="44"/>
      <c r="E1388" s="44"/>
      <c r="F1388" s="44"/>
      <c r="G1388" s="44"/>
      <c r="H1388" s="44"/>
      <c r="I1388" s="44"/>
      <c r="J1388" s="76"/>
    </row>
    <row r="1389" spans="2:10" ht="15">
      <c r="B1389" s="76"/>
      <c r="C1389" s="76"/>
      <c r="D1389" s="44"/>
      <c r="E1389" s="44"/>
      <c r="F1389" s="44"/>
      <c r="G1389" s="44"/>
      <c r="H1389" s="44"/>
      <c r="I1389" s="44"/>
      <c r="J1389" s="76"/>
    </row>
    <row r="1390" spans="2:10" ht="15">
      <c r="B1390" s="76"/>
      <c r="C1390" s="76"/>
      <c r="D1390" s="44"/>
      <c r="E1390" s="44"/>
      <c r="F1390" s="44"/>
      <c r="G1390" s="44"/>
      <c r="H1390" s="44"/>
      <c r="I1390" s="44"/>
      <c r="J1390" s="76"/>
    </row>
    <row r="1391" spans="2:10" ht="15">
      <c r="B1391" s="76"/>
      <c r="C1391" s="76"/>
      <c r="D1391" s="44"/>
      <c r="E1391" s="44"/>
      <c r="F1391" s="44"/>
      <c r="G1391" s="44"/>
      <c r="H1391" s="44"/>
      <c r="I1391" s="44"/>
      <c r="J1391" s="76"/>
    </row>
    <row r="1392" spans="2:10" ht="15">
      <c r="B1392" s="76"/>
      <c r="C1392" s="76"/>
      <c r="D1392" s="44"/>
      <c r="E1392" s="44"/>
      <c r="F1392" s="44"/>
      <c r="G1392" s="44"/>
      <c r="H1392" s="44"/>
      <c r="I1392" s="44"/>
      <c r="J1392" s="76"/>
    </row>
    <row r="1393" spans="2:10" ht="15">
      <c r="B1393" s="76"/>
      <c r="C1393" s="76"/>
      <c r="D1393" s="44"/>
      <c r="E1393" s="44"/>
      <c r="F1393" s="44"/>
      <c r="G1393" s="44"/>
      <c r="H1393" s="44"/>
      <c r="I1393" s="44"/>
      <c r="J1393" s="76"/>
    </row>
    <row r="1394" spans="2:10" ht="15">
      <c r="B1394" s="76"/>
      <c r="C1394" s="76"/>
      <c r="D1394" s="44"/>
      <c r="E1394" s="44"/>
      <c r="F1394" s="44"/>
      <c r="G1394" s="44"/>
      <c r="H1394" s="44"/>
      <c r="I1394" s="44"/>
      <c r="J1394" s="76"/>
    </row>
    <row r="1395" spans="2:10" ht="15">
      <c r="B1395" s="76"/>
      <c r="C1395" s="76"/>
      <c r="D1395" s="44"/>
      <c r="E1395" s="44"/>
      <c r="F1395" s="44"/>
      <c r="G1395" s="44"/>
      <c r="H1395" s="44"/>
      <c r="I1395" s="44"/>
      <c r="J1395" s="76"/>
    </row>
    <row r="1396" spans="2:10" ht="15">
      <c r="B1396" s="76"/>
      <c r="C1396" s="76"/>
      <c r="D1396" s="44"/>
      <c r="E1396" s="44"/>
      <c r="F1396" s="44"/>
      <c r="G1396" s="44"/>
      <c r="H1396" s="44"/>
      <c r="I1396" s="44"/>
      <c r="J1396" s="76"/>
    </row>
    <row r="1397" spans="2:10" ht="15">
      <c r="B1397" s="76"/>
      <c r="C1397" s="76"/>
      <c r="D1397" s="44"/>
      <c r="E1397" s="44"/>
      <c r="F1397" s="44"/>
      <c r="G1397" s="44"/>
      <c r="H1397" s="44"/>
      <c r="I1397" s="44"/>
      <c r="J1397" s="76"/>
    </row>
    <row r="1398" spans="2:10" ht="15">
      <c r="B1398" s="76"/>
      <c r="C1398" s="76"/>
      <c r="D1398" s="44"/>
      <c r="E1398" s="44"/>
      <c r="F1398" s="44"/>
      <c r="G1398" s="44"/>
      <c r="H1398" s="44"/>
      <c r="I1398" s="44"/>
      <c r="J1398" s="76"/>
    </row>
    <row r="1399" spans="2:10" ht="15">
      <c r="B1399" s="76"/>
      <c r="C1399" s="76"/>
      <c r="D1399" s="44"/>
      <c r="E1399" s="44"/>
      <c r="F1399" s="44"/>
      <c r="G1399" s="44"/>
      <c r="H1399" s="44"/>
      <c r="I1399" s="44"/>
      <c r="J1399" s="76"/>
    </row>
    <row r="1400" spans="2:10" ht="15">
      <c r="B1400" s="76"/>
      <c r="C1400" s="76"/>
      <c r="D1400" s="44"/>
      <c r="E1400" s="44"/>
      <c r="F1400" s="44"/>
      <c r="G1400" s="44"/>
      <c r="H1400" s="44"/>
      <c r="I1400" s="44"/>
      <c r="J1400" s="76"/>
    </row>
    <row r="1401" spans="2:10" ht="15">
      <c r="B1401" s="76"/>
      <c r="C1401" s="76"/>
      <c r="D1401" s="44"/>
      <c r="E1401" s="44"/>
      <c r="F1401" s="44"/>
      <c r="G1401" s="44"/>
      <c r="H1401" s="44"/>
      <c r="I1401" s="44"/>
      <c r="J1401" s="76"/>
    </row>
    <row r="1402" spans="2:10" ht="15">
      <c r="B1402" s="76"/>
      <c r="C1402" s="76"/>
      <c r="D1402" s="44"/>
      <c r="E1402" s="44"/>
      <c r="F1402" s="44"/>
      <c r="G1402" s="44"/>
      <c r="H1402" s="44"/>
      <c r="I1402" s="44"/>
      <c r="J1402" s="76"/>
    </row>
    <row r="1403" spans="2:10" ht="15">
      <c r="B1403" s="76"/>
      <c r="C1403" s="76"/>
      <c r="D1403" s="44"/>
      <c r="E1403" s="44"/>
      <c r="F1403" s="44"/>
      <c r="G1403" s="44"/>
      <c r="H1403" s="44"/>
      <c r="I1403" s="44"/>
      <c r="J1403" s="76"/>
    </row>
    <row r="1404" spans="2:10" ht="15">
      <c r="B1404" s="76"/>
      <c r="C1404" s="76"/>
      <c r="D1404" s="44"/>
      <c r="E1404" s="44"/>
      <c r="F1404" s="44"/>
      <c r="G1404" s="44"/>
      <c r="H1404" s="44"/>
      <c r="I1404" s="44"/>
      <c r="J1404" s="76"/>
    </row>
    <row r="1405" spans="2:10" ht="15">
      <c r="B1405" s="76"/>
      <c r="C1405" s="76"/>
      <c r="D1405" s="44"/>
      <c r="E1405" s="44"/>
      <c r="F1405" s="44"/>
      <c r="G1405" s="44"/>
      <c r="H1405" s="44"/>
      <c r="I1405" s="44"/>
      <c r="J1405" s="76"/>
    </row>
    <row r="1406" spans="2:10" ht="15">
      <c r="B1406" s="76"/>
      <c r="C1406" s="76"/>
      <c r="D1406" s="44"/>
      <c r="E1406" s="44"/>
      <c r="F1406" s="44"/>
      <c r="G1406" s="44"/>
      <c r="H1406" s="44"/>
      <c r="I1406" s="44"/>
      <c r="J1406" s="76"/>
    </row>
    <row r="1407" spans="2:10" ht="15">
      <c r="B1407" s="76"/>
      <c r="C1407" s="76"/>
      <c r="D1407" s="44"/>
      <c r="E1407" s="44"/>
      <c r="F1407" s="44"/>
      <c r="G1407" s="44"/>
      <c r="H1407" s="44"/>
      <c r="I1407" s="44"/>
      <c r="J1407" s="76"/>
    </row>
    <row r="1408" spans="2:10" ht="15">
      <c r="B1408" s="76"/>
      <c r="C1408" s="76"/>
      <c r="D1408" s="44"/>
      <c r="E1408" s="44"/>
      <c r="F1408" s="44"/>
      <c r="G1408" s="44"/>
      <c r="H1408" s="44"/>
      <c r="I1408" s="44"/>
      <c r="J1408" s="76"/>
    </row>
  </sheetData>
  <mergeCells count="20">
    <mergeCell ref="B2:M2"/>
    <mergeCell ref="B3:M3"/>
    <mergeCell ref="B5:B8"/>
    <mergeCell ref="C5:C8"/>
    <mergeCell ref="D5:D8"/>
    <mergeCell ref="E5:F5"/>
    <mergeCell ref="G5:H5"/>
    <mergeCell ref="I5:I8"/>
    <mergeCell ref="J5:M5"/>
    <mergeCell ref="E6:E8"/>
    <mergeCell ref="M6:M8"/>
    <mergeCell ref="B36:H36"/>
    <mergeCell ref="F6:F8"/>
    <mergeCell ref="G6:G8"/>
    <mergeCell ref="H6:H8"/>
    <mergeCell ref="J6:J8"/>
    <mergeCell ref="B40:H40"/>
    <mergeCell ref="B41:J41"/>
    <mergeCell ref="K6:K8"/>
    <mergeCell ref="L6:L8"/>
  </mergeCells>
  <printOptions horizontalCentered="1"/>
  <pageMargins left="0.58" right="0.25" top="0.34" bottom="0.25" header="0.1968503937007874" footer="0.1968503937007874"/>
  <pageSetup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codeName="Munka5">
    <tabColor indexed="43"/>
  </sheetPr>
  <dimension ref="A1:D76"/>
  <sheetViews>
    <sheetView workbookViewId="0" topLeftCell="A40">
      <selection activeCell="A40" sqref="A1:IV16384"/>
    </sheetView>
  </sheetViews>
  <sheetFormatPr defaultColWidth="9.140625" defaultRowHeight="12.75"/>
  <cols>
    <col min="1" max="1" width="6.00390625" style="362" customWidth="1"/>
    <col min="2" max="2" width="68.421875" style="362" customWidth="1"/>
    <col min="3" max="3" width="17.28125" style="257" customWidth="1"/>
    <col min="4" max="4" width="14.7109375" style="257" customWidth="1"/>
    <col min="5" max="16384" width="10.28125" style="362" customWidth="1"/>
  </cols>
  <sheetData>
    <row r="1" ht="12.75">
      <c r="C1" s="363" t="s">
        <v>1395</v>
      </c>
    </row>
    <row r="2" spans="1:4" ht="12.75">
      <c r="A2" s="1529" t="s">
        <v>171</v>
      </c>
      <c r="B2" s="1529"/>
      <c r="C2" s="1529"/>
      <c r="D2" s="364"/>
    </row>
    <row r="3" spans="1:4" ht="19.5" customHeight="1">
      <c r="A3" s="1529" t="s">
        <v>639</v>
      </c>
      <c r="B3" s="1529"/>
      <c r="C3" s="1529"/>
      <c r="D3" s="364"/>
    </row>
    <row r="4" spans="3:4" ht="12.75">
      <c r="C4" s="248" t="s">
        <v>384</v>
      </c>
      <c r="D4" s="365"/>
    </row>
    <row r="5" spans="1:4" ht="13.5" customHeight="1">
      <c r="A5" s="1530" t="s">
        <v>172</v>
      </c>
      <c r="B5" s="1531"/>
      <c r="C5" s="1532" t="s">
        <v>546</v>
      </c>
      <c r="D5" s="366"/>
    </row>
    <row r="6" spans="1:4" ht="12.75" customHeight="1">
      <c r="A6" s="1530"/>
      <c r="B6" s="1531"/>
      <c r="C6" s="1532"/>
      <c r="D6" s="366"/>
    </row>
    <row r="7" spans="1:4" ht="14.25" customHeight="1">
      <c r="A7" s="1530"/>
      <c r="B7" s="1531"/>
      <c r="C7" s="1532"/>
      <c r="D7" s="366"/>
    </row>
    <row r="8" spans="1:4" ht="17.25" customHeight="1">
      <c r="A8" s="367" t="s">
        <v>173</v>
      </c>
      <c r="B8" s="368" t="s">
        <v>174</v>
      </c>
      <c r="C8" s="379">
        <f>SUM(C24,C23,C10)</f>
        <v>526758</v>
      </c>
      <c r="D8" s="369"/>
    </row>
    <row r="9" spans="1:4" ht="17.25" customHeight="1">
      <c r="A9" s="370" t="s">
        <v>175</v>
      </c>
      <c r="B9" s="371" t="s">
        <v>176</v>
      </c>
      <c r="C9" s="380"/>
      <c r="D9" s="369"/>
    </row>
    <row r="10" spans="1:4" ht="17.25" customHeight="1">
      <c r="A10" s="373" t="s">
        <v>177</v>
      </c>
      <c r="B10" s="374" t="s">
        <v>178</v>
      </c>
      <c r="C10" s="382">
        <f>SUM(C11:C22)</f>
        <v>390221</v>
      </c>
      <c r="D10" s="369"/>
    </row>
    <row r="11" spans="1:4" ht="17.25" customHeight="1">
      <c r="A11" s="375"/>
      <c r="B11" s="376" t="s">
        <v>179</v>
      </c>
      <c r="C11" s="616">
        <v>15833</v>
      </c>
      <c r="D11" s="377"/>
    </row>
    <row r="12" spans="1:4" ht="17.25" customHeight="1">
      <c r="A12" s="375"/>
      <c r="B12" s="376" t="s">
        <v>180</v>
      </c>
      <c r="C12" s="616">
        <v>35000</v>
      </c>
      <c r="D12" s="377"/>
    </row>
    <row r="13" spans="1:4" ht="17.25" customHeight="1">
      <c r="A13" s="375"/>
      <c r="B13" s="376" t="s">
        <v>181</v>
      </c>
      <c r="C13" s="616">
        <v>13606</v>
      </c>
      <c r="D13" s="377"/>
    </row>
    <row r="14" spans="1:4" ht="17.25" customHeight="1">
      <c r="A14" s="375"/>
      <c r="B14" s="376" t="s">
        <v>183</v>
      </c>
      <c r="C14" s="616">
        <v>29167</v>
      </c>
      <c r="D14" s="377"/>
    </row>
    <row r="15" spans="1:4" ht="17.25" customHeight="1">
      <c r="A15" s="375"/>
      <c r="B15" s="376" t="s">
        <v>184</v>
      </c>
      <c r="C15" s="616"/>
      <c r="D15" s="377"/>
    </row>
    <row r="16" spans="1:4" ht="17.25" customHeight="1">
      <c r="A16" s="375"/>
      <c r="B16" s="376" t="s">
        <v>185</v>
      </c>
      <c r="C16" s="616">
        <v>153447</v>
      </c>
      <c r="D16" s="377"/>
    </row>
    <row r="17" spans="1:4" ht="17.25" customHeight="1">
      <c r="A17" s="375"/>
      <c r="B17" s="376" t="s">
        <v>186</v>
      </c>
      <c r="C17" s="616">
        <v>17250</v>
      </c>
      <c r="D17" s="377"/>
    </row>
    <row r="18" spans="1:4" ht="17.25" customHeight="1">
      <c r="A18" s="375"/>
      <c r="B18" s="376" t="s">
        <v>187</v>
      </c>
      <c r="C18" s="616">
        <v>2711</v>
      </c>
      <c r="D18" s="377"/>
    </row>
    <row r="19" spans="1:4" ht="17.25" customHeight="1">
      <c r="A19" s="375"/>
      <c r="B19" s="376" t="s">
        <v>1416</v>
      </c>
      <c r="C19" s="616">
        <v>2000</v>
      </c>
      <c r="D19" s="377"/>
    </row>
    <row r="20" spans="1:4" ht="17.25" customHeight="1">
      <c r="A20" s="375"/>
      <c r="B20" s="376" t="s">
        <v>188</v>
      </c>
      <c r="C20" s="616">
        <v>82374</v>
      </c>
      <c r="D20" s="377"/>
    </row>
    <row r="21" spans="1:4" ht="17.25" customHeight="1">
      <c r="A21" s="375"/>
      <c r="B21" s="376" t="s">
        <v>1417</v>
      </c>
      <c r="C21" s="616">
        <v>35833</v>
      </c>
      <c r="D21" s="377"/>
    </row>
    <row r="22" spans="1:4" ht="17.25" customHeight="1">
      <c r="A22" s="384"/>
      <c r="B22" s="385" t="s">
        <v>189</v>
      </c>
      <c r="C22" s="617">
        <v>3000</v>
      </c>
      <c r="D22" s="377"/>
    </row>
    <row r="23" spans="1:4" ht="17.25" customHeight="1">
      <c r="A23" s="373" t="s">
        <v>190</v>
      </c>
      <c r="B23" s="374" t="s">
        <v>191</v>
      </c>
      <c r="C23" s="382">
        <v>68323</v>
      </c>
      <c r="D23" s="369"/>
    </row>
    <row r="24" spans="1:4" ht="17.25" customHeight="1">
      <c r="A24" s="1288" t="s">
        <v>1345</v>
      </c>
      <c r="B24" s="1289" t="s">
        <v>648</v>
      </c>
      <c r="C24" s="398">
        <v>68214</v>
      </c>
      <c r="D24" s="369"/>
    </row>
    <row r="25" spans="1:4" ht="17.25" customHeight="1">
      <c r="A25" s="367" t="s">
        <v>192</v>
      </c>
      <c r="B25" s="368" t="s">
        <v>193</v>
      </c>
      <c r="C25" s="379">
        <f>SUM(C26+C27)</f>
        <v>0</v>
      </c>
      <c r="D25" s="369"/>
    </row>
    <row r="26" spans="1:4" ht="17.25" customHeight="1">
      <c r="A26" s="370" t="s">
        <v>194</v>
      </c>
      <c r="B26" s="371" t="s">
        <v>195</v>
      </c>
      <c r="C26" s="380"/>
      <c r="D26" s="369"/>
    </row>
    <row r="27" spans="1:4" ht="17.25" customHeight="1">
      <c r="A27" s="378" t="s">
        <v>196</v>
      </c>
      <c r="B27" s="14" t="s">
        <v>197</v>
      </c>
      <c r="C27" s="381"/>
      <c r="D27" s="377"/>
    </row>
    <row r="28" spans="1:4" ht="17.25" customHeight="1">
      <c r="A28" s="367" t="s">
        <v>198</v>
      </c>
      <c r="B28" s="368" t="s">
        <v>199</v>
      </c>
      <c r="C28" s="379">
        <f>SUM(C29,C33,C38)</f>
        <v>1163056</v>
      </c>
      <c r="D28" s="369"/>
    </row>
    <row r="29" spans="1:4" ht="17.25" customHeight="1">
      <c r="A29" s="370" t="s">
        <v>175</v>
      </c>
      <c r="B29" s="371" t="s">
        <v>200</v>
      </c>
      <c r="C29" s="380">
        <f>SUM(C30:C32)</f>
        <v>807600</v>
      </c>
      <c r="D29" s="369"/>
    </row>
    <row r="30" spans="1:4" ht="17.25" customHeight="1">
      <c r="A30" s="373"/>
      <c r="B30" s="376" t="s">
        <v>216</v>
      </c>
      <c r="C30" s="616">
        <v>10000</v>
      </c>
      <c r="D30" s="377"/>
    </row>
    <row r="31" spans="1:4" ht="17.25" customHeight="1">
      <c r="A31" s="373"/>
      <c r="B31" s="376" t="s">
        <v>253</v>
      </c>
      <c r="C31" s="616">
        <v>663000</v>
      </c>
      <c r="D31" s="377"/>
    </row>
    <row r="32" spans="1:4" ht="17.25" customHeight="1">
      <c r="A32" s="373"/>
      <c r="B32" s="376" t="s">
        <v>254</v>
      </c>
      <c r="C32" s="105">
        <v>134600</v>
      </c>
      <c r="D32" s="377"/>
    </row>
    <row r="33" spans="1:4" ht="17.25" customHeight="1">
      <c r="A33" s="373" t="s">
        <v>196</v>
      </c>
      <c r="B33" s="374" t="s">
        <v>255</v>
      </c>
      <c r="C33" s="382">
        <f>SUM(C34:C37)</f>
        <v>275456</v>
      </c>
      <c r="D33" s="369"/>
    </row>
    <row r="34" spans="1:4" ht="17.25" customHeight="1">
      <c r="A34" s="373"/>
      <c r="B34" s="376" t="s">
        <v>256</v>
      </c>
      <c r="C34" s="105">
        <v>47656</v>
      </c>
      <c r="D34" s="377"/>
    </row>
    <row r="35" spans="1:4" ht="17.25" customHeight="1">
      <c r="A35" s="373"/>
      <c r="B35" s="376" t="s">
        <v>1415</v>
      </c>
      <c r="C35" s="105">
        <v>0</v>
      </c>
      <c r="D35" s="377"/>
    </row>
    <row r="36" spans="1:4" ht="17.25" customHeight="1">
      <c r="A36" s="373"/>
      <c r="B36" s="383" t="s">
        <v>457</v>
      </c>
      <c r="C36" s="105">
        <v>122000</v>
      </c>
      <c r="D36" s="377"/>
    </row>
    <row r="37" spans="1:4" ht="17.25" customHeight="1">
      <c r="A37" s="373"/>
      <c r="B37" s="383" t="s">
        <v>128</v>
      </c>
      <c r="C37" s="105">
        <v>105800</v>
      </c>
      <c r="D37" s="377"/>
    </row>
    <row r="38" spans="1:4" ht="17.25" customHeight="1">
      <c r="A38" s="373" t="s">
        <v>257</v>
      </c>
      <c r="B38" s="374" t="s">
        <v>258</v>
      </c>
      <c r="C38" s="382">
        <f>SUM(C39:C39)</f>
        <v>80000</v>
      </c>
      <c r="D38" s="369"/>
    </row>
    <row r="39" spans="1:4" ht="17.25" customHeight="1">
      <c r="A39" s="384"/>
      <c r="B39" s="385" t="s">
        <v>129</v>
      </c>
      <c r="C39" s="107">
        <v>80000</v>
      </c>
      <c r="D39" s="377"/>
    </row>
    <row r="40" spans="1:4" ht="17.25" customHeight="1">
      <c r="A40" s="367" t="s">
        <v>259</v>
      </c>
      <c r="B40" s="368" t="s">
        <v>260</v>
      </c>
      <c r="C40" s="379">
        <f>SUM(C41,C43)+C51+C54</f>
        <v>998464</v>
      </c>
      <c r="D40" s="369"/>
    </row>
    <row r="41" spans="1:4" ht="17.25" customHeight="1">
      <c r="A41" s="370" t="s">
        <v>175</v>
      </c>
      <c r="B41" s="371" t="s">
        <v>267</v>
      </c>
      <c r="C41" s="380">
        <f>SUM(C42:C42)</f>
        <v>47279</v>
      </c>
      <c r="D41" s="369"/>
    </row>
    <row r="42" spans="1:4" ht="17.25" customHeight="1">
      <c r="A42" s="373"/>
      <c r="B42" s="376" t="s">
        <v>885</v>
      </c>
      <c r="C42" s="105">
        <v>47279</v>
      </c>
      <c r="D42" s="377"/>
    </row>
    <row r="43" spans="1:4" ht="17.25" customHeight="1">
      <c r="A43" s="373" t="s">
        <v>196</v>
      </c>
      <c r="B43" s="374" t="s">
        <v>268</v>
      </c>
      <c r="C43" s="382">
        <f>SUM(C44:C50)</f>
        <v>552671</v>
      </c>
      <c r="D43" s="369"/>
    </row>
    <row r="44" spans="1:4" ht="17.25" customHeight="1">
      <c r="A44" s="373"/>
      <c r="B44" s="376" t="s">
        <v>1176</v>
      </c>
      <c r="C44" s="105">
        <f>SUM('3 c forrás szerk'!C11)</f>
        <v>1920</v>
      </c>
      <c r="D44" s="377"/>
    </row>
    <row r="45" spans="1:4" s="386" customFormat="1" ht="17.25" customHeight="1">
      <c r="A45" s="373"/>
      <c r="B45" s="376" t="s">
        <v>1176</v>
      </c>
      <c r="C45" s="105">
        <f>SUM('3 c forrás szerk'!C10)</f>
        <v>108000</v>
      </c>
      <c r="D45" s="377"/>
    </row>
    <row r="46" spans="1:4" ht="17.25" customHeight="1">
      <c r="A46" s="375"/>
      <c r="B46" s="2" t="s">
        <v>269</v>
      </c>
      <c r="C46" s="105">
        <f>SUM('3 c forrás szerk'!D8)</f>
        <v>258550</v>
      </c>
      <c r="D46" s="387"/>
    </row>
    <row r="47" spans="1:4" ht="17.25" customHeight="1">
      <c r="A47" s="375"/>
      <c r="B47" s="1055" t="s">
        <v>30</v>
      </c>
      <c r="C47" s="105">
        <f>SUM('3 c forrás szerk'!C15)</f>
        <v>77500</v>
      </c>
      <c r="D47" s="387"/>
    </row>
    <row r="48" spans="1:4" ht="17.25" customHeight="1">
      <c r="A48" s="375"/>
      <c r="B48" s="1084" t="s">
        <v>229</v>
      </c>
      <c r="C48" s="105">
        <v>79</v>
      </c>
      <c r="D48" s="387"/>
    </row>
    <row r="49" spans="1:4" ht="17.25" customHeight="1">
      <c r="A49" s="375"/>
      <c r="B49" s="106" t="s">
        <v>130</v>
      </c>
      <c r="C49" s="388">
        <f>SUM('3 c forrás szerk'!C12)</f>
        <v>94675</v>
      </c>
      <c r="D49" s="389"/>
    </row>
    <row r="50" spans="1:4" ht="17.25" customHeight="1">
      <c r="A50" s="375"/>
      <c r="B50" s="749" t="s">
        <v>1177</v>
      </c>
      <c r="C50" s="388">
        <f>SUM('3 c forrás szerk'!C22)</f>
        <v>11947</v>
      </c>
      <c r="D50" s="389"/>
    </row>
    <row r="51" spans="1:4" ht="17.25" customHeight="1">
      <c r="A51" s="373" t="s">
        <v>257</v>
      </c>
      <c r="B51" s="390" t="s">
        <v>270</v>
      </c>
      <c r="C51" s="391">
        <f>SUM(C52:C53)</f>
        <v>119675</v>
      </c>
      <c r="D51" s="377"/>
    </row>
    <row r="52" spans="1:4" ht="17.25" customHeight="1">
      <c r="A52" s="373"/>
      <c r="B52" s="106" t="s">
        <v>230</v>
      </c>
      <c r="C52" s="105">
        <f>SUM('3 c forrás szerk'!E12)</f>
        <v>94675</v>
      </c>
      <c r="D52" s="377"/>
    </row>
    <row r="53" spans="1:4" ht="17.25" customHeight="1">
      <c r="A53" s="373"/>
      <c r="B53" s="392" t="s">
        <v>261</v>
      </c>
      <c r="C53" s="105">
        <v>25000</v>
      </c>
      <c r="D53" s="377"/>
    </row>
    <row r="54" spans="1:4" ht="17.25" customHeight="1">
      <c r="A54" s="373" t="s">
        <v>1345</v>
      </c>
      <c r="B54" s="393" t="s">
        <v>271</v>
      </c>
      <c r="C54" s="391">
        <f>SUM(C55:C58)</f>
        <v>278839</v>
      </c>
      <c r="D54" s="377"/>
    </row>
    <row r="55" spans="1:4" ht="17.25" customHeight="1">
      <c r="A55" s="373"/>
      <c r="B55" s="395" t="s">
        <v>742</v>
      </c>
      <c r="C55" s="394">
        <f>458643-C46</f>
        <v>200093</v>
      </c>
      <c r="D55" s="377"/>
    </row>
    <row r="56" spans="1:4" ht="17.25" customHeight="1">
      <c r="A56" s="373"/>
      <c r="B56" s="1084" t="s">
        <v>229</v>
      </c>
      <c r="C56" s="105">
        <f>12386-C48</f>
        <v>12307</v>
      </c>
      <c r="D56" s="377"/>
    </row>
    <row r="57" spans="1:4" ht="17.25" customHeight="1">
      <c r="A57" s="375"/>
      <c r="B57" s="106" t="s">
        <v>130</v>
      </c>
      <c r="C57" s="105">
        <v>64092</v>
      </c>
      <c r="D57" s="377"/>
    </row>
    <row r="58" spans="1:4" ht="17.25" customHeight="1">
      <c r="A58" s="750"/>
      <c r="B58" s="749" t="s">
        <v>1177</v>
      </c>
      <c r="C58" s="751">
        <f>14294-C50</f>
        <v>2347</v>
      </c>
      <c r="D58" s="377"/>
    </row>
    <row r="59" spans="1:4" ht="17.25" customHeight="1">
      <c r="A59" s="367" t="s">
        <v>262</v>
      </c>
      <c r="B59" s="368" t="s">
        <v>131</v>
      </c>
      <c r="C59" s="379">
        <f>SUM(C60:C61)</f>
        <v>11700</v>
      </c>
      <c r="D59" s="369"/>
    </row>
    <row r="60" spans="1:4" ht="17.25" customHeight="1">
      <c r="A60" s="370"/>
      <c r="B60" s="396" t="s">
        <v>263</v>
      </c>
      <c r="C60" s="108">
        <v>1700</v>
      </c>
      <c r="D60" s="377"/>
    </row>
    <row r="61" spans="1:4" ht="17.25" customHeight="1">
      <c r="A61" s="378"/>
      <c r="B61" s="385" t="s">
        <v>132</v>
      </c>
      <c r="C61" s="107">
        <v>10000</v>
      </c>
      <c r="D61" s="377"/>
    </row>
    <row r="62" spans="1:4" ht="17.25" customHeight="1">
      <c r="A62" s="367" t="s">
        <v>264</v>
      </c>
      <c r="B62" s="368" t="s">
        <v>1358</v>
      </c>
      <c r="C62" s="379">
        <f>SUM(C63:C64)</f>
        <v>2034246.25</v>
      </c>
      <c r="D62" s="397"/>
    </row>
    <row r="63" spans="1:4" ht="17.25" customHeight="1">
      <c r="A63" s="915"/>
      <c r="B63" s="916" t="s">
        <v>647</v>
      </c>
      <c r="C63" s="918">
        <f>SUM('3.b.beruházások céltart'!L51)</f>
        <v>691130.25</v>
      </c>
      <c r="D63" s="397"/>
    </row>
    <row r="64" spans="1:3" ht="17.25" customHeight="1">
      <c r="A64" s="373"/>
      <c r="B64" s="917" t="s">
        <v>649</v>
      </c>
      <c r="C64" s="971">
        <v>1343116</v>
      </c>
    </row>
    <row r="65" spans="1:4" ht="17.25" customHeight="1">
      <c r="A65" s="367" t="s">
        <v>265</v>
      </c>
      <c r="B65" s="368" t="s">
        <v>1357</v>
      </c>
      <c r="C65" s="379">
        <v>500000</v>
      </c>
      <c r="D65" s="397"/>
    </row>
    <row r="66" spans="1:4" ht="17.25" customHeight="1">
      <c r="A66" s="367" t="s">
        <v>1347</v>
      </c>
      <c r="B66" s="368" t="s">
        <v>100</v>
      </c>
      <c r="C66" s="379"/>
      <c r="D66" s="369"/>
    </row>
    <row r="67" spans="1:4" s="372" customFormat="1" ht="24" customHeight="1">
      <c r="A67" s="1527" t="s">
        <v>266</v>
      </c>
      <c r="B67" s="1528"/>
      <c r="C67" s="398">
        <f>SUM(C66,C65,C59,C40,C28,C25,C8)</f>
        <v>3199978</v>
      </c>
      <c r="D67" s="369"/>
    </row>
    <row r="68" ht="12.75">
      <c r="B68" s="386"/>
    </row>
    <row r="69" ht="12.75">
      <c r="B69" s="399"/>
    </row>
    <row r="76" spans="3:4" ht="12.75">
      <c r="C76" s="363"/>
      <c r="D76" s="363"/>
    </row>
  </sheetData>
  <mergeCells count="5">
    <mergeCell ref="A67:B67"/>
    <mergeCell ref="A2:C2"/>
    <mergeCell ref="A3:C3"/>
    <mergeCell ref="A5:B7"/>
    <mergeCell ref="C5:C7"/>
  </mergeCells>
  <printOptions horizontalCentered="1"/>
  <pageMargins left="0.984251968503937" right="0.8661417322834646" top="0.7874015748031497" bottom="0.7480314960629921" header="0.4724409448818898" footer="0.2362204724409449"/>
  <pageSetup cellComments="asDisplayed"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Munka9">
    <tabColor indexed="43"/>
  </sheetPr>
  <dimension ref="A1:C57"/>
  <sheetViews>
    <sheetView workbookViewId="0" topLeftCell="A13">
      <selection activeCell="A12" sqref="A1:IV16384"/>
    </sheetView>
  </sheetViews>
  <sheetFormatPr defaultColWidth="9.140625" defaultRowHeight="12.75"/>
  <cols>
    <col min="1" max="1" width="4.8515625" style="9" customWidth="1"/>
    <col min="2" max="2" width="55.57421875" style="10" customWidth="1"/>
    <col min="3" max="3" width="18.421875" style="10" customWidth="1"/>
    <col min="4" max="16384" width="9.140625" style="10" customWidth="1"/>
  </cols>
  <sheetData>
    <row r="1" ht="15">
      <c r="C1" s="11" t="s">
        <v>393</v>
      </c>
    </row>
    <row r="2" ht="15">
      <c r="C2" s="11"/>
    </row>
    <row r="5" spans="1:3" ht="18" customHeight="1">
      <c r="A5" s="1539" t="s">
        <v>273</v>
      </c>
      <c r="B5" s="1539"/>
      <c r="C5" s="1539"/>
    </row>
    <row r="6" spans="1:3" ht="18" customHeight="1">
      <c r="A6" s="1539" t="s">
        <v>641</v>
      </c>
      <c r="B6" s="1539"/>
      <c r="C6" s="1539"/>
    </row>
    <row r="7" spans="2:3" ht="15">
      <c r="B7" s="12"/>
      <c r="C7" s="12"/>
    </row>
    <row r="10" ht="15">
      <c r="C10" s="279" t="s">
        <v>384</v>
      </c>
    </row>
    <row r="11" spans="1:3" ht="30" customHeight="1">
      <c r="A11" s="1533" t="s">
        <v>896</v>
      </c>
      <c r="B11" s="1534"/>
      <c r="C11" s="273" t="s">
        <v>897</v>
      </c>
    </row>
    <row r="12" spans="1:3" ht="15">
      <c r="A12" s="1540">
        <v>1</v>
      </c>
      <c r="B12" s="1535" t="s">
        <v>898</v>
      </c>
      <c r="C12" s="1543">
        <f>'1. sz. melléklet'!$B$14</f>
        <v>4150700</v>
      </c>
    </row>
    <row r="13" spans="1:3" ht="15">
      <c r="A13" s="1538"/>
      <c r="B13" s="1536"/>
      <c r="C13" s="1542"/>
    </row>
    <row r="14" spans="1:3" ht="15">
      <c r="A14" s="1538">
        <v>2</v>
      </c>
      <c r="B14" s="1537" t="s">
        <v>385</v>
      </c>
      <c r="C14" s="1541">
        <f>'1. sz. melléklet'!$B$13</f>
        <v>470000</v>
      </c>
    </row>
    <row r="15" spans="1:3" ht="15">
      <c r="A15" s="1538"/>
      <c r="B15" s="1537"/>
      <c r="C15" s="1542"/>
    </row>
    <row r="16" spans="1:3" ht="15">
      <c r="A16" s="1538">
        <v>3</v>
      </c>
      <c r="B16" s="1537" t="s">
        <v>386</v>
      </c>
      <c r="C16" s="1541">
        <f>SUM(' 1.c. bevétel'!C65)+' 1.c. bevétel'!C30+' 1.c. bevétel'!C34+' 1.c. bevétel'!C42+' 1.c. bevétel'!C59</f>
        <v>616635</v>
      </c>
    </row>
    <row r="17" spans="1:3" ht="15">
      <c r="A17" s="1538"/>
      <c r="B17" s="1537"/>
      <c r="C17" s="1542"/>
    </row>
    <row r="18" spans="1:3" ht="15">
      <c r="A18" s="1538">
        <v>4</v>
      </c>
      <c r="B18" s="1537" t="s">
        <v>387</v>
      </c>
      <c r="C18" s="1541">
        <f>SUM(' 1.c. bevétel'!C8)</f>
        <v>526758</v>
      </c>
    </row>
    <row r="19" spans="1:3" ht="15">
      <c r="A19" s="1538"/>
      <c r="B19" s="1537"/>
      <c r="C19" s="1542"/>
    </row>
    <row r="20" spans="1:3" ht="15">
      <c r="A20" s="1538">
        <v>5</v>
      </c>
      <c r="B20" s="1537" t="s">
        <v>899</v>
      </c>
      <c r="C20" s="1542">
        <f>'1. sz. melléklet'!B23</f>
        <v>490000</v>
      </c>
    </row>
    <row r="21" spans="1:3" ht="15">
      <c r="A21" s="1538"/>
      <c r="B21" s="1537"/>
      <c r="C21" s="1542"/>
    </row>
    <row r="22" spans="1:3" ht="15">
      <c r="A22" s="1538">
        <v>6</v>
      </c>
      <c r="B22" s="1537" t="s">
        <v>900</v>
      </c>
      <c r="C22" s="1541">
        <f>' 1.c. bevétel'!C36+' 1.c. bevétel'!C37</f>
        <v>227800</v>
      </c>
    </row>
    <row r="23" spans="1:3" ht="15">
      <c r="A23" s="1538"/>
      <c r="B23" s="1537"/>
      <c r="C23" s="1541"/>
    </row>
    <row r="24" spans="1:3" ht="28.5" customHeight="1">
      <c r="A24" s="268">
        <v>7</v>
      </c>
      <c r="B24" s="402" t="s">
        <v>1538</v>
      </c>
      <c r="C24" s="403">
        <f>SUM(' 1.c. bevétel'!C38)</f>
        <v>80000</v>
      </c>
    </row>
    <row r="25" spans="1:3" ht="27.75" customHeight="1">
      <c r="A25" s="271">
        <v>8</v>
      </c>
      <c r="B25" s="404" t="s">
        <v>1539</v>
      </c>
      <c r="C25" s="405">
        <f>SUM(C12:C24)</f>
        <v>6561893</v>
      </c>
    </row>
    <row r="26" spans="1:3" ht="27.75" customHeight="1">
      <c r="A26" s="272">
        <v>9</v>
      </c>
      <c r="B26" s="406" t="s">
        <v>901</v>
      </c>
      <c r="C26" s="407">
        <f>SUM('3.1. terv alapegys'!C10)</f>
        <v>837544.203</v>
      </c>
    </row>
    <row r="27" spans="1:3" ht="27.75" customHeight="1">
      <c r="A27" s="267">
        <v>10</v>
      </c>
      <c r="B27" s="408" t="s">
        <v>902</v>
      </c>
      <c r="C27" s="409">
        <f>SUM('5.a melléklet'!I30)</f>
        <v>287783</v>
      </c>
    </row>
    <row r="28" spans="1:3" ht="27.75" customHeight="1">
      <c r="A28" s="268">
        <v>11</v>
      </c>
      <c r="B28" s="410" t="s">
        <v>903</v>
      </c>
      <c r="C28" s="411">
        <v>0</v>
      </c>
    </row>
    <row r="29" spans="1:3" ht="30" customHeight="1">
      <c r="A29" s="270">
        <v>12</v>
      </c>
      <c r="B29" s="412" t="s">
        <v>1540</v>
      </c>
      <c r="C29" s="413">
        <f>SUM(C26:C28)</f>
        <v>1125327.203</v>
      </c>
    </row>
    <row r="30" spans="1:3" ht="30" customHeight="1">
      <c r="A30" s="271">
        <v>13</v>
      </c>
      <c r="B30" s="404" t="s">
        <v>1359</v>
      </c>
      <c r="C30" s="405">
        <f>(C25-C29)*0.7</f>
        <v>3805596.0579</v>
      </c>
    </row>
    <row r="31" spans="1:3" ht="30" customHeight="1">
      <c r="A31" s="280">
        <v>14</v>
      </c>
      <c r="B31" s="414" t="s">
        <v>133</v>
      </c>
      <c r="C31" s="415">
        <f>SUM(' 1.c. bevétel'!C53)</f>
        <v>25000</v>
      </c>
    </row>
    <row r="32" spans="1:3" ht="27" customHeight="1">
      <c r="A32" s="269">
        <v>15</v>
      </c>
      <c r="B32" s="416" t="s">
        <v>1360</v>
      </c>
      <c r="C32" s="417">
        <f>SUM(C30:C31)</f>
        <v>3830596.0579</v>
      </c>
    </row>
    <row r="37" ht="15">
      <c r="C37" s="13"/>
    </row>
    <row r="38" ht="15">
      <c r="C38" s="13"/>
    </row>
    <row r="39" ht="15">
      <c r="C39" s="13"/>
    </row>
    <row r="40" ht="15">
      <c r="C40" s="13"/>
    </row>
    <row r="41" ht="15">
      <c r="C41" s="13"/>
    </row>
    <row r="42" ht="15">
      <c r="C42" s="13"/>
    </row>
    <row r="43" ht="15">
      <c r="C43" s="13"/>
    </row>
    <row r="44" ht="15">
      <c r="C44" s="13"/>
    </row>
    <row r="45" ht="15">
      <c r="C45" s="13"/>
    </row>
    <row r="46" ht="15">
      <c r="C46" s="13"/>
    </row>
    <row r="47" ht="15">
      <c r="C47" s="13"/>
    </row>
    <row r="48" ht="15">
      <c r="C48" s="13"/>
    </row>
    <row r="49" ht="15">
      <c r="C49" s="13"/>
    </row>
    <row r="50" ht="15">
      <c r="C50" s="13"/>
    </row>
    <row r="51" ht="15">
      <c r="C51" s="13"/>
    </row>
    <row r="52" ht="15">
      <c r="C52" s="13"/>
    </row>
    <row r="53" ht="15">
      <c r="C53" s="13"/>
    </row>
    <row r="54" ht="15">
      <c r="C54" s="13"/>
    </row>
    <row r="55" ht="15">
      <c r="C55" s="13"/>
    </row>
    <row r="56" ht="15">
      <c r="C56" s="13"/>
    </row>
    <row r="57" ht="15">
      <c r="C57" s="13"/>
    </row>
  </sheetData>
  <mergeCells count="21">
    <mergeCell ref="B22:B23"/>
    <mergeCell ref="C12:C13"/>
    <mergeCell ref="C22:C23"/>
    <mergeCell ref="C20:C21"/>
    <mergeCell ref="C14:C15"/>
    <mergeCell ref="C18:C19"/>
    <mergeCell ref="A5:C5"/>
    <mergeCell ref="A6:C6"/>
    <mergeCell ref="A22:A23"/>
    <mergeCell ref="A12:A13"/>
    <mergeCell ref="A14:A15"/>
    <mergeCell ref="A18:A19"/>
    <mergeCell ref="A20:A21"/>
    <mergeCell ref="B20:B21"/>
    <mergeCell ref="B18:B19"/>
    <mergeCell ref="C16:C17"/>
    <mergeCell ref="A11:B11"/>
    <mergeCell ref="B12:B13"/>
    <mergeCell ref="B14:B15"/>
    <mergeCell ref="B16:B17"/>
    <mergeCell ref="A16:A17"/>
  </mergeCells>
  <printOptions horizontalCentered="1"/>
  <pageMargins left="0.59" right="0.39" top="0.72" bottom="1" header="0.41"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Munka6">
    <tabColor indexed="43"/>
  </sheetPr>
  <dimension ref="A1:K343"/>
  <sheetViews>
    <sheetView workbookViewId="0" topLeftCell="A1">
      <selection activeCell="A1" sqref="A1:IV16384"/>
    </sheetView>
  </sheetViews>
  <sheetFormatPr defaultColWidth="9.140625" defaultRowHeight="12.75" customHeight="1"/>
  <cols>
    <col min="1" max="1" width="4.00390625" style="45" customWidth="1"/>
    <col min="2" max="2" width="42.28125" style="80" customWidth="1"/>
    <col min="3" max="3" width="14.00390625" style="45" customWidth="1"/>
    <col min="4" max="4" width="13.421875" style="45" customWidth="1"/>
    <col min="5" max="5" width="12.8515625" style="45" customWidth="1"/>
    <col min="6" max="6" width="12.421875" style="45" customWidth="1"/>
    <col min="7" max="7" width="12.421875" style="47" customWidth="1"/>
    <col min="8" max="8" width="14.00390625" style="47" customWidth="1"/>
    <col min="9" max="9" width="13.28125" style="45" customWidth="1"/>
    <col min="10" max="10" width="8.7109375" style="45" bestFit="1" customWidth="1"/>
    <col min="11" max="16384" width="8.00390625" style="45" customWidth="1"/>
  </cols>
  <sheetData>
    <row r="1" spans="8:9" ht="12.75" customHeight="1">
      <c r="H1" s="1544" t="s">
        <v>952</v>
      </c>
      <c r="I1" s="1544"/>
    </row>
    <row r="2" spans="1:11" ht="12" customHeight="1">
      <c r="A2" s="1549" t="s">
        <v>273</v>
      </c>
      <c r="B2" s="1549"/>
      <c r="C2" s="1549"/>
      <c r="D2" s="1549"/>
      <c r="E2" s="1549"/>
      <c r="F2" s="1549"/>
      <c r="G2" s="1549"/>
      <c r="H2" s="1549"/>
      <c r="I2" s="1549"/>
      <c r="J2" s="81"/>
      <c r="K2" s="81"/>
    </row>
    <row r="3" spans="1:11" ht="12" customHeight="1">
      <c r="A3" s="1549" t="s">
        <v>6</v>
      </c>
      <c r="B3" s="1549"/>
      <c r="C3" s="1549"/>
      <c r="D3" s="1549"/>
      <c r="E3" s="1549"/>
      <c r="F3" s="1549"/>
      <c r="G3" s="1549"/>
      <c r="H3" s="1549"/>
      <c r="I3" s="1549"/>
      <c r="J3" s="81"/>
      <c r="K3" s="81"/>
    </row>
    <row r="4" spans="1:11" ht="12" customHeight="1">
      <c r="A4" s="81"/>
      <c r="B4" s="82"/>
      <c r="C4" s="83"/>
      <c r="D4" s="83"/>
      <c r="E4" s="83"/>
      <c r="F4" s="83"/>
      <c r="G4" s="83"/>
      <c r="H4" s="1552" t="s">
        <v>384</v>
      </c>
      <c r="I4" s="1552"/>
      <c r="J4" s="81"/>
      <c r="K4" s="81"/>
    </row>
    <row r="5" spans="1:11" ht="16.5" customHeight="1">
      <c r="A5" s="1545" t="s">
        <v>172</v>
      </c>
      <c r="B5" s="1546"/>
      <c r="C5" s="1550" t="s">
        <v>1116</v>
      </c>
      <c r="D5" s="1558" t="s">
        <v>954</v>
      </c>
      <c r="E5" s="1559"/>
      <c r="F5" s="1559"/>
      <c r="G5" s="1559"/>
      <c r="H5" s="1559"/>
      <c r="I5" s="1560"/>
      <c r="J5" s="81"/>
      <c r="K5" s="81"/>
    </row>
    <row r="6" spans="1:11" ht="47.25" customHeight="1">
      <c r="A6" s="1547"/>
      <c r="B6" s="1548"/>
      <c r="C6" s="1551"/>
      <c r="D6" s="468" t="s">
        <v>1419</v>
      </c>
      <c r="E6" s="467" t="s">
        <v>953</v>
      </c>
      <c r="F6" s="469" t="s">
        <v>957</v>
      </c>
      <c r="G6" s="470" t="s">
        <v>955</v>
      </c>
      <c r="H6" s="471" t="s">
        <v>84</v>
      </c>
      <c r="I6" s="474" t="s">
        <v>1352</v>
      </c>
      <c r="J6" s="81"/>
      <c r="K6" s="81"/>
    </row>
    <row r="7" spans="1:11" ht="12" customHeight="1">
      <c r="A7" s="84"/>
      <c r="B7" s="85" t="s">
        <v>66</v>
      </c>
      <c r="C7" s="199"/>
      <c r="D7" s="199"/>
      <c r="E7" s="199"/>
      <c r="F7" s="200"/>
      <c r="G7" s="200"/>
      <c r="H7" s="200"/>
      <c r="I7" s="199"/>
      <c r="J7" s="81"/>
      <c r="K7" s="81"/>
    </row>
    <row r="8" spans="1:11" ht="12" customHeight="1">
      <c r="A8" s="86"/>
      <c r="B8" s="87" t="s">
        <v>67</v>
      </c>
      <c r="C8" s="88">
        <f>SUM(D8,E8:I8,C50:I50,C92:I92,C134:I134,C176:G176)</f>
        <v>0</v>
      </c>
      <c r="D8" s="88">
        <v>0</v>
      </c>
      <c r="E8" s="88">
        <v>0</v>
      </c>
      <c r="F8" s="88">
        <v>0</v>
      </c>
      <c r="G8" s="88">
        <v>0</v>
      </c>
      <c r="H8" s="88">
        <v>0</v>
      </c>
      <c r="I8" s="88">
        <v>0</v>
      </c>
      <c r="J8" s="81"/>
      <c r="K8" s="81"/>
    </row>
    <row r="9" spans="1:11" ht="12" customHeight="1">
      <c r="A9" s="86"/>
      <c r="B9" s="87" t="s">
        <v>68</v>
      </c>
      <c r="C9" s="88">
        <f aca="true" t="shared" si="0" ref="C9:C22">SUM(D9:I9,C51:I51,C93:I93,C135:I135,C177)</f>
        <v>440975</v>
      </c>
      <c r="D9" s="88">
        <v>368016</v>
      </c>
      <c r="E9" s="88">
        <v>1262</v>
      </c>
      <c r="F9" s="88">
        <v>3432</v>
      </c>
      <c r="G9" s="88">
        <v>5100</v>
      </c>
      <c r="H9" s="88">
        <v>960</v>
      </c>
      <c r="I9" s="88">
        <v>2134</v>
      </c>
      <c r="J9" s="81"/>
      <c r="K9" s="81"/>
    </row>
    <row r="10" spans="1:11" ht="12" customHeight="1">
      <c r="A10" s="86"/>
      <c r="B10" s="87" t="s">
        <v>69</v>
      </c>
      <c r="C10" s="88">
        <f t="shared" si="0"/>
        <v>143879</v>
      </c>
      <c r="D10" s="88">
        <v>139902</v>
      </c>
      <c r="E10" s="88">
        <v>0</v>
      </c>
      <c r="F10" s="88">
        <v>0</v>
      </c>
      <c r="G10" s="88">
        <v>0</v>
      </c>
      <c r="H10" s="88">
        <v>20</v>
      </c>
      <c r="I10" s="88">
        <v>114</v>
      </c>
      <c r="J10" s="81"/>
      <c r="K10" s="81"/>
    </row>
    <row r="11" spans="1:11" ht="12" customHeight="1">
      <c r="A11" s="86"/>
      <c r="B11" s="87" t="s">
        <v>1250</v>
      </c>
      <c r="C11" s="88">
        <f t="shared" si="0"/>
        <v>0</v>
      </c>
      <c r="D11" s="88">
        <v>0</v>
      </c>
      <c r="E11" s="88">
        <v>0</v>
      </c>
      <c r="F11" s="88">
        <v>0</v>
      </c>
      <c r="G11" s="88">
        <v>0</v>
      </c>
      <c r="H11" s="88">
        <v>0</v>
      </c>
      <c r="I11" s="88">
        <v>0</v>
      </c>
      <c r="J11" s="81"/>
      <c r="K11" s="81"/>
    </row>
    <row r="12" spans="1:11" ht="12" customHeight="1">
      <c r="A12" s="86" t="s">
        <v>950</v>
      </c>
      <c r="B12" s="89" t="s">
        <v>1251</v>
      </c>
      <c r="C12" s="85">
        <f t="shared" si="0"/>
        <v>584854</v>
      </c>
      <c r="D12" s="85">
        <v>507918</v>
      </c>
      <c r="E12" s="85">
        <v>1262</v>
      </c>
      <c r="F12" s="85">
        <v>3432</v>
      </c>
      <c r="G12" s="85">
        <v>5100</v>
      </c>
      <c r="H12" s="85">
        <v>980</v>
      </c>
      <c r="I12" s="85">
        <v>2248</v>
      </c>
      <c r="J12" s="81"/>
      <c r="K12" s="81"/>
    </row>
    <row r="13" spans="1:11" ht="12" customHeight="1">
      <c r="A13" s="86" t="s">
        <v>951</v>
      </c>
      <c r="B13" s="89" t="s">
        <v>1252</v>
      </c>
      <c r="C13" s="88">
        <f t="shared" si="0"/>
        <v>0</v>
      </c>
      <c r="D13" s="85">
        <v>0</v>
      </c>
      <c r="E13" s="85">
        <v>0</v>
      </c>
      <c r="F13" s="85">
        <v>0</v>
      </c>
      <c r="G13" s="85">
        <v>0</v>
      </c>
      <c r="H13" s="85">
        <v>0</v>
      </c>
      <c r="I13" s="85">
        <v>0</v>
      </c>
      <c r="J13" s="81"/>
      <c r="K13" s="81"/>
    </row>
    <row r="14" spans="1:11" ht="12" customHeight="1">
      <c r="A14" s="86" t="s">
        <v>198</v>
      </c>
      <c r="B14" s="89" t="s">
        <v>1253</v>
      </c>
      <c r="C14" s="85">
        <f t="shared" si="0"/>
        <v>10269</v>
      </c>
      <c r="D14" s="201">
        <v>0</v>
      </c>
      <c r="E14" s="201">
        <v>0</v>
      </c>
      <c r="F14" s="201">
        <v>0</v>
      </c>
      <c r="G14" s="201">
        <v>0</v>
      </c>
      <c r="H14" s="201">
        <v>0</v>
      </c>
      <c r="I14" s="201">
        <v>3500</v>
      </c>
      <c r="J14" s="81"/>
      <c r="K14" s="81"/>
    </row>
    <row r="15" spans="1:11" ht="12" customHeight="1">
      <c r="A15" s="86"/>
      <c r="B15" s="87" t="s">
        <v>1254</v>
      </c>
      <c r="C15" s="88">
        <f t="shared" si="0"/>
        <v>9869</v>
      </c>
      <c r="D15" s="90">
        <v>0</v>
      </c>
      <c r="E15" s="90">
        <v>0</v>
      </c>
      <c r="F15" s="90">
        <v>0</v>
      </c>
      <c r="G15" s="90">
        <v>0</v>
      </c>
      <c r="H15" s="90">
        <v>0</v>
      </c>
      <c r="I15" s="90">
        <v>3100</v>
      </c>
      <c r="J15" s="81"/>
      <c r="K15" s="81"/>
    </row>
    <row r="16" spans="1:11" ht="12" customHeight="1">
      <c r="A16" s="86"/>
      <c r="B16" s="87" t="s">
        <v>1255</v>
      </c>
      <c r="C16" s="88">
        <f t="shared" si="0"/>
        <v>0</v>
      </c>
      <c r="D16" s="90"/>
      <c r="E16" s="90"/>
      <c r="F16" s="90"/>
      <c r="G16" s="90"/>
      <c r="H16" s="90"/>
      <c r="I16" s="90"/>
      <c r="J16" s="81"/>
      <c r="K16" s="81"/>
    </row>
    <row r="17" spans="1:11" ht="12" customHeight="1">
      <c r="A17" s="86"/>
      <c r="B17" s="87" t="s">
        <v>1256</v>
      </c>
      <c r="C17" s="88">
        <f t="shared" si="0"/>
        <v>400</v>
      </c>
      <c r="D17" s="90">
        <v>0</v>
      </c>
      <c r="E17" s="90">
        <v>0</v>
      </c>
      <c r="F17" s="90">
        <v>0</v>
      </c>
      <c r="G17" s="90">
        <v>0</v>
      </c>
      <c r="H17" s="90">
        <v>0</v>
      </c>
      <c r="I17" s="90">
        <v>400</v>
      </c>
      <c r="J17" s="81"/>
      <c r="K17" s="81"/>
    </row>
    <row r="18" spans="1:11" ht="12" customHeight="1">
      <c r="A18" s="86"/>
      <c r="B18" s="87" t="s">
        <v>1255</v>
      </c>
      <c r="C18" s="88">
        <f t="shared" si="0"/>
        <v>0</v>
      </c>
      <c r="D18" s="88"/>
      <c r="E18" s="88"/>
      <c r="F18" s="88"/>
      <c r="G18" s="88"/>
      <c r="H18" s="88"/>
      <c r="I18" s="88"/>
      <c r="J18" s="81"/>
      <c r="K18" s="81"/>
    </row>
    <row r="19" spans="1:11" ht="12" customHeight="1">
      <c r="A19" s="86" t="s">
        <v>259</v>
      </c>
      <c r="B19" s="89" t="s">
        <v>260</v>
      </c>
      <c r="C19" s="85">
        <f t="shared" si="0"/>
        <v>31800</v>
      </c>
      <c r="D19" s="85">
        <v>0</v>
      </c>
      <c r="E19" s="85">
        <v>0</v>
      </c>
      <c r="F19" s="85">
        <v>0</v>
      </c>
      <c r="G19" s="85">
        <v>0</v>
      </c>
      <c r="H19" s="85">
        <v>0</v>
      </c>
      <c r="I19" s="85">
        <v>0</v>
      </c>
      <c r="J19" s="81"/>
      <c r="K19" s="81"/>
    </row>
    <row r="20" spans="1:11" ht="12" customHeight="1">
      <c r="A20" s="86"/>
      <c r="B20" s="87" t="s">
        <v>1257</v>
      </c>
      <c r="C20" s="88">
        <f t="shared" si="0"/>
        <v>31800</v>
      </c>
      <c r="D20" s="88">
        <v>0</v>
      </c>
      <c r="E20" s="88">
        <v>0</v>
      </c>
      <c r="F20" s="88">
        <v>0</v>
      </c>
      <c r="G20" s="88">
        <v>0</v>
      </c>
      <c r="H20" s="88">
        <v>0</v>
      </c>
      <c r="I20" s="88">
        <v>0</v>
      </c>
      <c r="J20" s="81"/>
      <c r="K20" s="81"/>
    </row>
    <row r="21" spans="1:11" ht="12" customHeight="1">
      <c r="A21" s="86"/>
      <c r="B21" s="87" t="s">
        <v>1258</v>
      </c>
      <c r="C21" s="88">
        <f t="shared" si="0"/>
        <v>0</v>
      </c>
      <c r="D21" s="88">
        <v>0</v>
      </c>
      <c r="E21" s="88">
        <v>0</v>
      </c>
      <c r="F21" s="88">
        <v>0</v>
      </c>
      <c r="G21" s="88">
        <v>0</v>
      </c>
      <c r="H21" s="88">
        <v>0</v>
      </c>
      <c r="I21" s="88">
        <v>0</v>
      </c>
      <c r="J21" s="81"/>
      <c r="K21" s="81"/>
    </row>
    <row r="22" spans="1:11" ht="12" customHeight="1">
      <c r="A22" s="84" t="s">
        <v>262</v>
      </c>
      <c r="B22" s="85" t="s">
        <v>1259</v>
      </c>
      <c r="C22" s="85">
        <f t="shared" si="0"/>
        <v>7469670</v>
      </c>
      <c r="D22" s="85">
        <v>551234</v>
      </c>
      <c r="E22" s="85">
        <v>1037821</v>
      </c>
      <c r="F22" s="85">
        <v>270268</v>
      </c>
      <c r="G22" s="85">
        <v>101105</v>
      </c>
      <c r="H22" s="85">
        <v>189327</v>
      </c>
      <c r="I22" s="85">
        <v>140475</v>
      </c>
      <c r="J22" s="81"/>
      <c r="K22" s="81"/>
    </row>
    <row r="23" spans="1:11" ht="12" customHeight="1">
      <c r="A23" s="91"/>
      <c r="B23" s="93" t="s">
        <v>1260</v>
      </c>
      <c r="C23" s="93">
        <f>SUM(C22,C19,C14,C13,C12)</f>
        <v>8096593</v>
      </c>
      <c r="D23" s="93">
        <f aca="true" t="shared" si="1" ref="D23:I23">SUM(D22,D19,D14,D13,D12)</f>
        <v>1059152</v>
      </c>
      <c r="E23" s="93">
        <f t="shared" si="1"/>
        <v>1039083</v>
      </c>
      <c r="F23" s="93">
        <f t="shared" si="1"/>
        <v>273700</v>
      </c>
      <c r="G23" s="93">
        <f t="shared" si="1"/>
        <v>106205</v>
      </c>
      <c r="H23" s="93">
        <f t="shared" si="1"/>
        <v>190307</v>
      </c>
      <c r="I23" s="93">
        <f t="shared" si="1"/>
        <v>146223</v>
      </c>
      <c r="J23" s="81"/>
      <c r="K23" s="81"/>
    </row>
    <row r="24" spans="1:11" ht="12" customHeight="1">
      <c r="A24" s="84"/>
      <c r="B24" s="85" t="s">
        <v>1261</v>
      </c>
      <c r="C24" s="88"/>
      <c r="D24" s="88"/>
      <c r="E24" s="88"/>
      <c r="F24" s="88"/>
      <c r="G24" s="88"/>
      <c r="H24" s="88"/>
      <c r="I24" s="88"/>
      <c r="J24" s="81"/>
      <c r="K24" s="81"/>
    </row>
    <row r="25" spans="1:11" ht="12" customHeight="1">
      <c r="A25" s="84" t="s">
        <v>950</v>
      </c>
      <c r="B25" s="85" t="s">
        <v>89</v>
      </c>
      <c r="C25" s="85">
        <f aca="true" t="shared" si="2" ref="C25:C41">SUM(D25:I25,C67:I67,C109:I109,C151:I151,C193)</f>
        <v>4726336</v>
      </c>
      <c r="D25" s="85">
        <v>68068</v>
      </c>
      <c r="E25" s="85">
        <v>717581</v>
      </c>
      <c r="F25" s="85">
        <v>174425</v>
      </c>
      <c r="G25" s="85">
        <v>77749</v>
      </c>
      <c r="H25" s="85">
        <v>126568</v>
      </c>
      <c r="I25" s="85">
        <v>94954</v>
      </c>
      <c r="J25" s="81"/>
      <c r="K25" s="81"/>
    </row>
    <row r="26" spans="1:11" ht="12" customHeight="1">
      <c r="A26" s="84" t="s">
        <v>951</v>
      </c>
      <c r="B26" s="85" t="s">
        <v>892</v>
      </c>
      <c r="C26" s="85">
        <f t="shared" si="2"/>
        <v>1360615</v>
      </c>
      <c r="D26" s="85">
        <v>18700</v>
      </c>
      <c r="E26" s="85">
        <v>206698</v>
      </c>
      <c r="F26" s="85">
        <v>50231</v>
      </c>
      <c r="G26" s="85">
        <v>22338</v>
      </c>
      <c r="H26" s="85">
        <v>36426</v>
      </c>
      <c r="I26" s="85">
        <v>27307</v>
      </c>
      <c r="J26" s="81"/>
      <c r="K26" s="81"/>
    </row>
    <row r="27" spans="1:11" ht="12" customHeight="1">
      <c r="A27" s="84" t="s">
        <v>198</v>
      </c>
      <c r="B27" s="85" t="s">
        <v>893</v>
      </c>
      <c r="C27" s="85">
        <f t="shared" si="2"/>
        <v>140825</v>
      </c>
      <c r="D27" s="85">
        <v>2005</v>
      </c>
      <c r="E27" s="85">
        <v>21383</v>
      </c>
      <c r="F27" s="85">
        <v>5196</v>
      </c>
      <c r="G27" s="85">
        <v>2311</v>
      </c>
      <c r="H27" s="85">
        <v>3767</v>
      </c>
      <c r="I27" s="85">
        <v>2825</v>
      </c>
      <c r="J27" s="81"/>
      <c r="K27" s="81"/>
    </row>
    <row r="28" spans="1:11" ht="12" customHeight="1">
      <c r="A28" s="84" t="s">
        <v>259</v>
      </c>
      <c r="B28" s="85" t="s">
        <v>1083</v>
      </c>
      <c r="C28" s="85">
        <f t="shared" si="2"/>
        <v>51959</v>
      </c>
      <c r="D28" s="85">
        <v>632</v>
      </c>
      <c r="E28" s="85">
        <v>9126</v>
      </c>
      <c r="F28" s="85">
        <v>1942</v>
      </c>
      <c r="G28" s="85">
        <v>819</v>
      </c>
      <c r="H28" s="85">
        <v>1404</v>
      </c>
      <c r="I28" s="85">
        <v>1076</v>
      </c>
      <c r="J28" s="81"/>
      <c r="K28" s="81"/>
    </row>
    <row r="29" spans="1:11" ht="12" customHeight="1">
      <c r="A29" s="84" t="s">
        <v>262</v>
      </c>
      <c r="B29" s="85" t="s">
        <v>1346</v>
      </c>
      <c r="C29" s="85">
        <f t="shared" si="2"/>
        <v>0</v>
      </c>
      <c r="D29" s="85"/>
      <c r="E29" s="85"/>
      <c r="F29" s="85"/>
      <c r="G29" s="85"/>
      <c r="H29" s="85"/>
      <c r="I29" s="85"/>
      <c r="J29" s="81"/>
      <c r="K29" s="81"/>
    </row>
    <row r="30" spans="1:11" ht="12" customHeight="1">
      <c r="A30" s="84" t="s">
        <v>264</v>
      </c>
      <c r="B30" s="85" t="s">
        <v>93</v>
      </c>
      <c r="C30" s="85">
        <f t="shared" si="2"/>
        <v>1755958</v>
      </c>
      <c r="D30" s="85">
        <v>969747</v>
      </c>
      <c r="E30" s="85">
        <v>84295</v>
      </c>
      <c r="F30" s="85">
        <v>41306</v>
      </c>
      <c r="G30" s="85">
        <v>2988</v>
      </c>
      <c r="H30" s="85">
        <v>22142</v>
      </c>
      <c r="I30" s="85">
        <v>19661</v>
      </c>
      <c r="J30" s="81"/>
      <c r="K30" s="81"/>
    </row>
    <row r="31" spans="1:11" ht="12" customHeight="1">
      <c r="A31" s="84"/>
      <c r="B31" s="88" t="s">
        <v>1262</v>
      </c>
      <c r="C31" s="88">
        <f t="shared" si="2"/>
        <v>184568</v>
      </c>
      <c r="D31" s="88">
        <v>0</v>
      </c>
      <c r="E31" s="88">
        <v>19816</v>
      </c>
      <c r="F31" s="88">
        <v>18705</v>
      </c>
      <c r="G31" s="88">
        <v>0</v>
      </c>
      <c r="H31" s="88">
        <v>6</v>
      </c>
      <c r="I31" s="88">
        <v>2964</v>
      </c>
      <c r="J31" s="81"/>
      <c r="K31" s="81"/>
    </row>
    <row r="32" spans="1:11" ht="12" customHeight="1">
      <c r="A32" s="84"/>
      <c r="B32" s="88" t="s">
        <v>1263</v>
      </c>
      <c r="C32" s="88">
        <f t="shared" si="2"/>
        <v>94276</v>
      </c>
      <c r="D32" s="88">
        <v>0</v>
      </c>
      <c r="E32" s="88">
        <v>9446</v>
      </c>
      <c r="F32" s="88">
        <v>4959</v>
      </c>
      <c r="G32" s="88">
        <v>694</v>
      </c>
      <c r="H32" s="88">
        <v>1636</v>
      </c>
      <c r="I32" s="88">
        <v>2459</v>
      </c>
      <c r="J32" s="81"/>
      <c r="K32" s="81"/>
    </row>
    <row r="33" spans="1:11" ht="12" customHeight="1">
      <c r="A33" s="84"/>
      <c r="B33" s="88" t="s">
        <v>1264</v>
      </c>
      <c r="C33" s="88">
        <f t="shared" si="2"/>
        <v>117049</v>
      </c>
      <c r="D33" s="88">
        <v>0</v>
      </c>
      <c r="E33" s="88">
        <v>15555</v>
      </c>
      <c r="F33" s="88">
        <v>0</v>
      </c>
      <c r="G33" s="88">
        <v>0</v>
      </c>
      <c r="H33" s="88">
        <v>11761</v>
      </c>
      <c r="I33" s="88">
        <v>0</v>
      </c>
      <c r="J33" s="81"/>
      <c r="K33" s="81"/>
    </row>
    <row r="34" spans="1:11" ht="12" customHeight="1">
      <c r="A34" s="84"/>
      <c r="B34" s="88" t="s">
        <v>1265</v>
      </c>
      <c r="C34" s="88">
        <f t="shared" si="2"/>
        <v>44984</v>
      </c>
      <c r="D34" s="88">
        <v>0</v>
      </c>
      <c r="E34" s="88">
        <v>5600</v>
      </c>
      <c r="F34" s="88">
        <v>3200</v>
      </c>
      <c r="G34" s="88">
        <v>0</v>
      </c>
      <c r="H34" s="88">
        <v>687</v>
      </c>
      <c r="I34" s="88">
        <v>878</v>
      </c>
      <c r="J34" s="81"/>
      <c r="K34" s="81"/>
    </row>
    <row r="35" spans="1:11" ht="12" customHeight="1">
      <c r="A35" s="84"/>
      <c r="B35" s="88" t="s">
        <v>1266</v>
      </c>
      <c r="C35" s="88">
        <f t="shared" si="2"/>
        <v>695895</v>
      </c>
      <c r="D35" s="88">
        <v>695895</v>
      </c>
      <c r="E35" s="88">
        <v>0</v>
      </c>
      <c r="F35" s="88">
        <v>0</v>
      </c>
      <c r="G35" s="88">
        <v>0</v>
      </c>
      <c r="H35" s="88">
        <v>0</v>
      </c>
      <c r="I35" s="88">
        <v>0</v>
      </c>
      <c r="J35" s="81"/>
      <c r="K35" s="81"/>
    </row>
    <row r="36" spans="1:11" ht="12" customHeight="1">
      <c r="A36" s="84"/>
      <c r="B36" s="88" t="s">
        <v>1267</v>
      </c>
      <c r="C36" s="88">
        <f t="shared" si="2"/>
        <v>55581</v>
      </c>
      <c r="D36" s="88">
        <v>0</v>
      </c>
      <c r="E36" s="88">
        <v>0</v>
      </c>
      <c r="F36" s="88">
        <v>3120</v>
      </c>
      <c r="G36" s="88">
        <v>0</v>
      </c>
      <c r="H36" s="88">
        <v>2236</v>
      </c>
      <c r="I36" s="88">
        <v>1475</v>
      </c>
      <c r="J36" s="81"/>
      <c r="K36" s="81"/>
    </row>
    <row r="37" spans="1:11" ht="12" customHeight="1">
      <c r="A37" s="84"/>
      <c r="B37" s="88" t="s">
        <v>1268</v>
      </c>
      <c r="C37" s="88">
        <f t="shared" si="2"/>
        <v>115500</v>
      </c>
      <c r="D37" s="88">
        <f>92138-35888</f>
        <v>56250</v>
      </c>
      <c r="E37" s="88">
        <v>8000</v>
      </c>
      <c r="F37" s="88">
        <v>3000</v>
      </c>
      <c r="G37" s="88">
        <v>1500</v>
      </c>
      <c r="H37" s="88">
        <v>1500</v>
      </c>
      <c r="I37" s="88">
        <v>1500</v>
      </c>
      <c r="J37" s="81"/>
      <c r="K37" s="81"/>
    </row>
    <row r="38" spans="1:11" ht="12" customHeight="1">
      <c r="A38" s="84"/>
      <c r="B38" s="88" t="s">
        <v>1269</v>
      </c>
      <c r="C38" s="88">
        <f t="shared" si="2"/>
        <v>269996</v>
      </c>
      <c r="D38" s="88">
        <v>157605</v>
      </c>
      <c r="E38" s="88">
        <v>14048</v>
      </c>
      <c r="F38" s="88">
        <v>6495</v>
      </c>
      <c r="G38" s="88">
        <v>498</v>
      </c>
      <c r="H38" s="88">
        <v>3410</v>
      </c>
      <c r="I38" s="88">
        <v>2577</v>
      </c>
      <c r="J38" s="81"/>
      <c r="K38" s="81"/>
    </row>
    <row r="39" spans="1:11" ht="12" customHeight="1">
      <c r="A39" s="84" t="s">
        <v>265</v>
      </c>
      <c r="B39" s="85" t="s">
        <v>96</v>
      </c>
      <c r="C39" s="85">
        <f t="shared" si="2"/>
        <v>0</v>
      </c>
      <c r="D39" s="85">
        <v>0</v>
      </c>
      <c r="E39" s="85">
        <v>0</v>
      </c>
      <c r="F39" s="85">
        <v>0</v>
      </c>
      <c r="G39" s="85">
        <v>0</v>
      </c>
      <c r="H39" s="85">
        <v>0</v>
      </c>
      <c r="I39" s="85">
        <v>0</v>
      </c>
      <c r="J39" s="81"/>
      <c r="K39" s="81"/>
    </row>
    <row r="40" spans="1:11" ht="12" customHeight="1">
      <c r="A40" s="84" t="s">
        <v>1347</v>
      </c>
      <c r="B40" s="85" t="s">
        <v>1348</v>
      </c>
      <c r="C40" s="85">
        <f t="shared" si="2"/>
        <v>26200</v>
      </c>
      <c r="D40" s="85">
        <v>0</v>
      </c>
      <c r="E40" s="85">
        <v>0</v>
      </c>
      <c r="F40" s="85">
        <v>600</v>
      </c>
      <c r="G40" s="85">
        <v>0</v>
      </c>
      <c r="H40" s="85">
        <v>0</v>
      </c>
      <c r="I40" s="85">
        <v>0</v>
      </c>
      <c r="J40" s="81"/>
      <c r="K40" s="81"/>
    </row>
    <row r="41" spans="1:11" ht="12" customHeight="1">
      <c r="A41" s="84" t="s">
        <v>1349</v>
      </c>
      <c r="B41" s="85" t="s">
        <v>161</v>
      </c>
      <c r="C41" s="85">
        <f t="shared" si="2"/>
        <v>34700</v>
      </c>
      <c r="D41" s="85">
        <v>0</v>
      </c>
      <c r="E41" s="85">
        <v>0</v>
      </c>
      <c r="F41" s="85">
        <v>0</v>
      </c>
      <c r="G41" s="85">
        <v>0</v>
      </c>
      <c r="H41" s="85">
        <v>0</v>
      </c>
      <c r="I41" s="85">
        <v>400</v>
      </c>
      <c r="J41" s="81"/>
      <c r="K41" s="81"/>
    </row>
    <row r="42" spans="1:11" ht="12" customHeight="1">
      <c r="A42" s="92"/>
      <c r="B42" s="93" t="s">
        <v>1270</v>
      </c>
      <c r="C42" s="93">
        <f aca="true" t="shared" si="3" ref="C42:I42">SUM(C25,C26:C29,C30,C39:C41)</f>
        <v>8096593</v>
      </c>
      <c r="D42" s="93">
        <f t="shared" si="3"/>
        <v>1059152</v>
      </c>
      <c r="E42" s="93">
        <f t="shared" si="3"/>
        <v>1039083</v>
      </c>
      <c r="F42" s="93">
        <f t="shared" si="3"/>
        <v>273700</v>
      </c>
      <c r="G42" s="93">
        <f t="shared" si="3"/>
        <v>106205</v>
      </c>
      <c r="H42" s="93">
        <f t="shared" si="3"/>
        <v>190307</v>
      </c>
      <c r="I42" s="93">
        <f t="shared" si="3"/>
        <v>146223</v>
      </c>
      <c r="J42" s="81"/>
      <c r="K42" s="81"/>
    </row>
    <row r="43" spans="1:11" s="46" customFormat="1" ht="12" customHeight="1">
      <c r="A43" s="94"/>
      <c r="B43" s="95" t="s">
        <v>231</v>
      </c>
      <c r="C43" s="1269">
        <f>SUM(D43:I43,C85:I85,C127:I127,C169:I169,C211)</f>
        <v>2217.9000000000005</v>
      </c>
      <c r="D43" s="250">
        <v>27</v>
      </c>
      <c r="E43" s="250">
        <v>390</v>
      </c>
      <c r="F43" s="250">
        <v>83</v>
      </c>
      <c r="G43" s="250">
        <v>35</v>
      </c>
      <c r="H43" s="250">
        <v>60</v>
      </c>
      <c r="I43" s="250">
        <v>46</v>
      </c>
      <c r="J43" s="81"/>
      <c r="K43" s="81"/>
    </row>
    <row r="44" spans="1:11" s="46" customFormat="1" ht="12" customHeight="1">
      <c r="A44" s="94"/>
      <c r="B44" s="95" t="s">
        <v>232</v>
      </c>
      <c r="C44" s="250">
        <f>SUM(D44:I44,C86:I86,C128:I128,C170:I170,C212)</f>
        <v>1518.9000000000005</v>
      </c>
      <c r="D44" s="250"/>
      <c r="E44" s="250">
        <v>217.5</v>
      </c>
      <c r="F44" s="250">
        <v>64</v>
      </c>
      <c r="G44" s="250">
        <v>30</v>
      </c>
      <c r="H44" s="250">
        <v>47.5</v>
      </c>
      <c r="I44" s="250">
        <v>35</v>
      </c>
      <c r="J44" s="81"/>
      <c r="K44" s="81"/>
    </row>
    <row r="45" spans="1:11" ht="12" customHeight="1">
      <c r="A45" s="94"/>
      <c r="B45" s="95"/>
      <c r="C45" s="95"/>
      <c r="D45" s="95"/>
      <c r="E45" s="202"/>
      <c r="F45" s="95"/>
      <c r="G45" s="95"/>
      <c r="H45" s="95"/>
      <c r="I45" s="95"/>
      <c r="J45" s="81"/>
      <c r="K45" s="81"/>
    </row>
    <row r="46" spans="1:11" ht="12" customHeight="1">
      <c r="A46" s="96"/>
      <c r="B46" s="97"/>
      <c r="C46" s="103"/>
      <c r="D46" s="103"/>
      <c r="E46" s="103"/>
      <c r="F46" s="103"/>
      <c r="G46" s="203"/>
      <c r="H46" s="1552" t="s">
        <v>384</v>
      </c>
      <c r="I46" s="1552"/>
      <c r="J46" s="81"/>
      <c r="K46" s="81"/>
    </row>
    <row r="47" spans="1:11" ht="12.75" customHeight="1">
      <c r="A47" s="1545" t="s">
        <v>172</v>
      </c>
      <c r="B47" s="1546"/>
      <c r="C47" s="1555" t="s">
        <v>954</v>
      </c>
      <c r="D47" s="1556"/>
      <c r="E47" s="1556"/>
      <c r="F47" s="1556"/>
      <c r="G47" s="1556"/>
      <c r="H47" s="1556"/>
      <c r="I47" s="1557"/>
      <c r="J47" s="81"/>
      <c r="K47" s="81"/>
    </row>
    <row r="48" spans="1:11" ht="48.75" customHeight="1">
      <c r="A48" s="1547"/>
      <c r="B48" s="1548"/>
      <c r="C48" s="472" t="s">
        <v>1353</v>
      </c>
      <c r="D48" s="470" t="s">
        <v>562</v>
      </c>
      <c r="E48" s="472" t="s">
        <v>1354</v>
      </c>
      <c r="F48" s="472" t="s">
        <v>559</v>
      </c>
      <c r="G48" s="469" t="s">
        <v>7</v>
      </c>
      <c r="H48" s="469" t="s">
        <v>956</v>
      </c>
      <c r="I48" s="475" t="s">
        <v>1207</v>
      </c>
      <c r="J48" s="81"/>
      <c r="K48" s="81"/>
    </row>
    <row r="49" spans="1:11" ht="12.75" customHeight="1">
      <c r="A49" s="84"/>
      <c r="B49" s="85" t="s">
        <v>66</v>
      </c>
      <c r="C49" s="199"/>
      <c r="D49" s="199"/>
      <c r="E49" s="199"/>
      <c r="F49" s="199"/>
      <c r="G49" s="199"/>
      <c r="H49" s="200"/>
      <c r="I49" s="200"/>
      <c r="J49" s="81"/>
      <c r="K49" s="81"/>
    </row>
    <row r="50" spans="1:11" ht="12.75" customHeight="1">
      <c r="A50" s="86"/>
      <c r="B50" s="87" t="s">
        <v>67</v>
      </c>
      <c r="C50" s="88">
        <v>0</v>
      </c>
      <c r="D50" s="88">
        <v>0</v>
      </c>
      <c r="E50" s="88">
        <v>0</v>
      </c>
      <c r="F50" s="88">
        <v>0</v>
      </c>
      <c r="G50" s="88">
        <v>0</v>
      </c>
      <c r="H50" s="88">
        <v>0</v>
      </c>
      <c r="I50" s="88">
        <v>0</v>
      </c>
      <c r="J50" s="81"/>
      <c r="K50" s="81"/>
    </row>
    <row r="51" spans="1:11" ht="12.75" customHeight="1">
      <c r="A51" s="86"/>
      <c r="B51" s="87" t="s">
        <v>68</v>
      </c>
      <c r="C51" s="88">
        <v>702</v>
      </c>
      <c r="D51" s="88">
        <v>7671</v>
      </c>
      <c r="E51" s="88">
        <v>409</v>
      </c>
      <c r="F51" s="88">
        <v>300</v>
      </c>
      <c r="G51" s="88">
        <v>4020</v>
      </c>
      <c r="H51" s="88">
        <v>825</v>
      </c>
      <c r="I51" s="88">
        <v>1809</v>
      </c>
      <c r="J51" s="81"/>
      <c r="K51" s="81"/>
    </row>
    <row r="52" spans="1:11" ht="12.75" customHeight="1">
      <c r="A52" s="86"/>
      <c r="B52" s="87" t="s">
        <v>69</v>
      </c>
      <c r="C52" s="88">
        <v>0</v>
      </c>
      <c r="D52" s="88">
        <v>300</v>
      </c>
      <c r="E52" s="88">
        <v>0</v>
      </c>
      <c r="F52" s="88">
        <v>0</v>
      </c>
      <c r="G52" s="88">
        <v>0</v>
      </c>
      <c r="H52" s="88">
        <v>0</v>
      </c>
      <c r="I52" s="88">
        <v>0</v>
      </c>
      <c r="J52" s="81"/>
      <c r="K52" s="81"/>
    </row>
    <row r="53" spans="1:11" ht="12.75" customHeight="1">
      <c r="A53" s="86"/>
      <c r="B53" s="87" t="s">
        <v>1250</v>
      </c>
      <c r="C53" s="88">
        <v>0</v>
      </c>
      <c r="D53" s="88">
        <v>0</v>
      </c>
      <c r="E53" s="88">
        <v>0</v>
      </c>
      <c r="F53" s="88">
        <v>0</v>
      </c>
      <c r="G53" s="88">
        <v>0</v>
      </c>
      <c r="H53" s="88">
        <v>0</v>
      </c>
      <c r="I53" s="88">
        <v>0</v>
      </c>
      <c r="J53" s="81"/>
      <c r="K53" s="81"/>
    </row>
    <row r="54" spans="1:11" ht="12.75" customHeight="1">
      <c r="A54" s="86" t="s">
        <v>950</v>
      </c>
      <c r="B54" s="89" t="s">
        <v>1251</v>
      </c>
      <c r="C54" s="85">
        <v>702</v>
      </c>
      <c r="D54" s="85">
        <v>7971</v>
      </c>
      <c r="E54" s="85">
        <v>409</v>
      </c>
      <c r="F54" s="85">
        <v>300</v>
      </c>
      <c r="G54" s="85">
        <v>4020</v>
      </c>
      <c r="H54" s="85">
        <v>825</v>
      </c>
      <c r="I54" s="85">
        <v>1809</v>
      </c>
      <c r="J54" s="81"/>
      <c r="K54" s="81"/>
    </row>
    <row r="55" spans="1:11" ht="12.75" customHeight="1">
      <c r="A55" s="86" t="s">
        <v>951</v>
      </c>
      <c r="B55" s="89" t="s">
        <v>134</v>
      </c>
      <c r="C55" s="85">
        <v>0</v>
      </c>
      <c r="D55" s="85">
        <v>0</v>
      </c>
      <c r="E55" s="85">
        <v>0</v>
      </c>
      <c r="F55" s="85">
        <v>0</v>
      </c>
      <c r="G55" s="85">
        <v>0</v>
      </c>
      <c r="H55" s="85">
        <v>0</v>
      </c>
      <c r="I55" s="85">
        <v>0</v>
      </c>
      <c r="J55" s="81"/>
      <c r="K55" s="81"/>
    </row>
    <row r="56" spans="1:11" ht="12.75" customHeight="1">
      <c r="A56" s="86" t="s">
        <v>198</v>
      </c>
      <c r="B56" s="89" t="s">
        <v>1253</v>
      </c>
      <c r="C56" s="201">
        <v>354</v>
      </c>
      <c r="D56" s="201">
        <v>0</v>
      </c>
      <c r="E56" s="201">
        <v>0</v>
      </c>
      <c r="F56" s="201">
        <v>0</v>
      </c>
      <c r="G56" s="201">
        <v>0</v>
      </c>
      <c r="H56" s="201">
        <v>0</v>
      </c>
      <c r="I56" s="201">
        <v>3597</v>
      </c>
      <c r="J56" s="81"/>
      <c r="K56" s="81"/>
    </row>
    <row r="57" spans="1:11" ht="12.75" customHeight="1">
      <c r="A57" s="86"/>
      <c r="B57" s="87" t="s">
        <v>1254</v>
      </c>
      <c r="C57" s="90">
        <v>354</v>
      </c>
      <c r="D57" s="90">
        <v>0</v>
      </c>
      <c r="E57" s="90">
        <v>0</v>
      </c>
      <c r="F57" s="90">
        <v>0</v>
      </c>
      <c r="G57" s="90">
        <v>0</v>
      </c>
      <c r="H57" s="90">
        <v>0</v>
      </c>
      <c r="I57" s="90">
        <v>3597</v>
      </c>
      <c r="J57" s="81"/>
      <c r="K57" s="81"/>
    </row>
    <row r="58" spans="1:11" ht="12.75" customHeight="1">
      <c r="A58" s="86"/>
      <c r="B58" s="87" t="s">
        <v>1255</v>
      </c>
      <c r="C58" s="90"/>
      <c r="D58" s="90"/>
      <c r="E58" s="90"/>
      <c r="F58" s="90"/>
      <c r="G58" s="90"/>
      <c r="H58" s="90"/>
      <c r="I58" s="90"/>
      <c r="J58" s="81"/>
      <c r="K58" s="81"/>
    </row>
    <row r="59" spans="1:11" ht="12.75" customHeight="1">
      <c r="A59" s="86"/>
      <c r="B59" s="87" t="s">
        <v>1256</v>
      </c>
      <c r="C59" s="90">
        <v>0</v>
      </c>
      <c r="D59" s="90">
        <v>0</v>
      </c>
      <c r="E59" s="90">
        <v>0</v>
      </c>
      <c r="F59" s="90">
        <v>0</v>
      </c>
      <c r="G59" s="90">
        <v>0</v>
      </c>
      <c r="H59" s="90">
        <v>0</v>
      </c>
      <c r="I59" s="90">
        <v>0</v>
      </c>
      <c r="J59" s="81"/>
      <c r="K59" s="81"/>
    </row>
    <row r="60" spans="1:11" ht="12.75" customHeight="1">
      <c r="A60" s="86"/>
      <c r="B60" s="87" t="s">
        <v>1255</v>
      </c>
      <c r="C60" s="88"/>
      <c r="D60" s="88"/>
      <c r="E60" s="88"/>
      <c r="F60" s="88"/>
      <c r="G60" s="88"/>
      <c r="H60" s="88"/>
      <c r="I60" s="88"/>
      <c r="J60" s="81"/>
      <c r="K60" s="81"/>
    </row>
    <row r="61" spans="1:11" ht="12.75" customHeight="1">
      <c r="A61" s="86" t="s">
        <v>259</v>
      </c>
      <c r="B61" s="89" t="s">
        <v>260</v>
      </c>
      <c r="C61" s="85">
        <v>0</v>
      </c>
      <c r="D61" s="85">
        <v>0</v>
      </c>
      <c r="E61" s="85">
        <v>0</v>
      </c>
      <c r="F61" s="85">
        <v>0</v>
      </c>
      <c r="G61" s="85">
        <v>0</v>
      </c>
      <c r="H61" s="85">
        <v>0</v>
      </c>
      <c r="I61" s="85">
        <v>0</v>
      </c>
      <c r="J61" s="81"/>
      <c r="K61" s="81"/>
    </row>
    <row r="62" spans="1:11" ht="12.75" customHeight="1">
      <c r="A62" s="86"/>
      <c r="B62" s="87" t="s">
        <v>1257</v>
      </c>
      <c r="C62" s="88">
        <v>0</v>
      </c>
      <c r="D62" s="88">
        <v>0</v>
      </c>
      <c r="E62" s="88">
        <v>0</v>
      </c>
      <c r="F62" s="88">
        <v>0</v>
      </c>
      <c r="G62" s="88">
        <v>0</v>
      </c>
      <c r="H62" s="88">
        <v>0</v>
      </c>
      <c r="I62" s="88">
        <v>0</v>
      </c>
      <c r="J62" s="81"/>
      <c r="K62" s="81"/>
    </row>
    <row r="63" spans="1:11" ht="12.75" customHeight="1">
      <c r="A63" s="86"/>
      <c r="B63" s="87" t="s">
        <v>1258</v>
      </c>
      <c r="C63" s="88">
        <v>0</v>
      </c>
      <c r="D63" s="88">
        <v>0</v>
      </c>
      <c r="E63" s="88">
        <v>0</v>
      </c>
      <c r="F63" s="88">
        <v>0</v>
      </c>
      <c r="G63" s="88">
        <v>0</v>
      </c>
      <c r="H63" s="88">
        <v>0</v>
      </c>
      <c r="I63" s="88">
        <v>0</v>
      </c>
      <c r="J63" s="81"/>
      <c r="K63" s="81"/>
    </row>
    <row r="64" spans="1:11" ht="12.75" customHeight="1">
      <c r="A64" s="84" t="s">
        <v>262</v>
      </c>
      <c r="B64" s="85" t="s">
        <v>1259</v>
      </c>
      <c r="C64" s="85">
        <v>148880</v>
      </c>
      <c r="D64" s="85">
        <f>203641+1000</f>
        <v>204641</v>
      </c>
      <c r="E64" s="85">
        <v>150403</v>
      </c>
      <c r="F64" s="85">
        <v>142738</v>
      </c>
      <c r="G64" s="85">
        <v>248490</v>
      </c>
      <c r="H64" s="85">
        <v>200702</v>
      </c>
      <c r="I64" s="85">
        <v>161583</v>
      </c>
      <c r="J64" s="81"/>
      <c r="K64" s="81"/>
    </row>
    <row r="65" spans="1:11" ht="10.5" customHeight="1">
      <c r="A65" s="91"/>
      <c r="B65" s="93" t="s">
        <v>1260</v>
      </c>
      <c r="C65" s="93">
        <f aca="true" t="shared" si="4" ref="C65:I65">SUM(C64,C61,C56,C55,C54)</f>
        <v>149936</v>
      </c>
      <c r="D65" s="93">
        <f t="shared" si="4"/>
        <v>212612</v>
      </c>
      <c r="E65" s="93">
        <f t="shared" si="4"/>
        <v>150812</v>
      </c>
      <c r="F65" s="93">
        <f t="shared" si="4"/>
        <v>143038</v>
      </c>
      <c r="G65" s="93">
        <f t="shared" si="4"/>
        <v>252510</v>
      </c>
      <c r="H65" s="93">
        <f t="shared" si="4"/>
        <v>201527</v>
      </c>
      <c r="I65" s="93">
        <f t="shared" si="4"/>
        <v>166989</v>
      </c>
      <c r="J65" s="81"/>
      <c r="K65" s="81"/>
    </row>
    <row r="66" spans="1:11" ht="12.75" customHeight="1">
      <c r="A66" s="84"/>
      <c r="B66" s="85" t="s">
        <v>1261</v>
      </c>
      <c r="C66" s="88"/>
      <c r="D66" s="88"/>
      <c r="E66" s="88"/>
      <c r="F66" s="88"/>
      <c r="G66" s="88"/>
      <c r="H66" s="88"/>
      <c r="I66" s="88"/>
      <c r="J66" s="81"/>
      <c r="K66" s="81"/>
    </row>
    <row r="67" spans="1:11" ht="12.75" customHeight="1">
      <c r="A67" s="84" t="s">
        <v>950</v>
      </c>
      <c r="B67" s="85" t="s">
        <v>89</v>
      </c>
      <c r="C67" s="85">
        <v>103463</v>
      </c>
      <c r="D67" s="85">
        <v>132770</v>
      </c>
      <c r="E67" s="85">
        <v>98854</v>
      </c>
      <c r="F67" s="85">
        <v>98400</v>
      </c>
      <c r="G67" s="85">
        <v>167227</v>
      </c>
      <c r="H67" s="85">
        <v>141546</v>
      </c>
      <c r="I67" s="85">
        <v>108651</v>
      </c>
      <c r="J67" s="81"/>
      <c r="K67" s="81"/>
    </row>
    <row r="68" spans="1:11" ht="12.75" customHeight="1">
      <c r="A68" s="84" t="s">
        <v>951</v>
      </c>
      <c r="B68" s="85" t="s">
        <v>892</v>
      </c>
      <c r="C68" s="85">
        <v>29776</v>
      </c>
      <c r="D68" s="85">
        <v>38220</v>
      </c>
      <c r="E68" s="85">
        <v>28442</v>
      </c>
      <c r="F68" s="85">
        <v>28305</v>
      </c>
      <c r="G68" s="85">
        <v>48155</v>
      </c>
      <c r="H68" s="85">
        <v>40746</v>
      </c>
      <c r="I68" s="85">
        <v>31268</v>
      </c>
      <c r="J68" s="81"/>
      <c r="K68" s="81"/>
    </row>
    <row r="69" spans="1:11" ht="12.75" customHeight="1">
      <c r="A69" s="84" t="s">
        <v>198</v>
      </c>
      <c r="B69" s="85" t="s">
        <v>893</v>
      </c>
      <c r="C69" s="85">
        <v>3080</v>
      </c>
      <c r="D69" s="85">
        <v>3954</v>
      </c>
      <c r="E69" s="85">
        <v>2942</v>
      </c>
      <c r="F69" s="85">
        <v>2929</v>
      </c>
      <c r="G69" s="85">
        <v>4981</v>
      </c>
      <c r="H69" s="85">
        <v>4214</v>
      </c>
      <c r="I69" s="85">
        <v>3235</v>
      </c>
      <c r="J69" s="81"/>
      <c r="K69" s="81"/>
    </row>
    <row r="70" spans="1:11" ht="12.75" customHeight="1">
      <c r="A70" s="84" t="s">
        <v>259</v>
      </c>
      <c r="B70" s="85" t="s">
        <v>1083</v>
      </c>
      <c r="C70" s="85">
        <v>1147</v>
      </c>
      <c r="D70" s="85">
        <v>1360</v>
      </c>
      <c r="E70" s="85">
        <v>1062</v>
      </c>
      <c r="F70" s="85">
        <v>1114</v>
      </c>
      <c r="G70" s="85">
        <v>1954</v>
      </c>
      <c r="H70" s="85">
        <v>1743</v>
      </c>
      <c r="I70" s="85">
        <v>1158</v>
      </c>
      <c r="J70" s="81"/>
      <c r="K70" s="81"/>
    </row>
    <row r="71" spans="1:11" ht="12.75" customHeight="1">
      <c r="A71" s="84" t="s">
        <v>262</v>
      </c>
      <c r="B71" s="85" t="s">
        <v>1346</v>
      </c>
      <c r="C71" s="85"/>
      <c r="D71" s="85"/>
      <c r="E71" s="85"/>
      <c r="F71" s="85"/>
      <c r="G71" s="85"/>
      <c r="H71" s="85"/>
      <c r="I71" s="85"/>
      <c r="J71" s="81"/>
      <c r="K71" s="81"/>
    </row>
    <row r="72" spans="1:11" ht="12.75" customHeight="1">
      <c r="A72" s="84" t="s">
        <v>264</v>
      </c>
      <c r="B72" s="85" t="s">
        <v>93</v>
      </c>
      <c r="C72" s="85">
        <v>12470</v>
      </c>
      <c r="D72" s="85">
        <f>35308+1000</f>
        <v>36308</v>
      </c>
      <c r="E72" s="85">
        <v>19512</v>
      </c>
      <c r="F72" s="85">
        <v>12290</v>
      </c>
      <c r="G72" s="85">
        <v>30193</v>
      </c>
      <c r="H72" s="85">
        <v>13278</v>
      </c>
      <c r="I72" s="85">
        <v>21477</v>
      </c>
      <c r="J72" s="81"/>
      <c r="K72" s="81"/>
    </row>
    <row r="73" spans="1:11" ht="12" customHeight="1">
      <c r="A73" s="84"/>
      <c r="B73" s="88" t="s">
        <v>1262</v>
      </c>
      <c r="C73" s="88">
        <v>4729</v>
      </c>
      <c r="D73" s="88">
        <v>0</v>
      </c>
      <c r="E73" s="88">
        <v>8729</v>
      </c>
      <c r="F73" s="88">
        <v>3454</v>
      </c>
      <c r="G73" s="88">
        <v>8329</v>
      </c>
      <c r="H73" s="88">
        <v>4411</v>
      </c>
      <c r="I73" s="88">
        <v>7794</v>
      </c>
      <c r="J73" s="81"/>
      <c r="K73" s="81"/>
    </row>
    <row r="74" spans="1:11" ht="12" customHeight="1">
      <c r="A74" s="84"/>
      <c r="B74" s="88" t="s">
        <v>1263</v>
      </c>
      <c r="C74" s="88">
        <v>1542</v>
      </c>
      <c r="D74" s="88">
        <v>2685</v>
      </c>
      <c r="E74" s="88">
        <v>1748</v>
      </c>
      <c r="F74" s="88">
        <v>2478</v>
      </c>
      <c r="G74" s="88">
        <v>3575</v>
      </c>
      <c r="H74" s="88">
        <v>1758</v>
      </c>
      <c r="I74" s="88">
        <v>1642</v>
      </c>
      <c r="J74" s="81"/>
      <c r="K74" s="81"/>
    </row>
    <row r="75" spans="1:11" ht="12" customHeight="1">
      <c r="A75" s="84"/>
      <c r="B75" s="88" t="s">
        <v>1264</v>
      </c>
      <c r="C75" s="88">
        <v>0</v>
      </c>
      <c r="D75" s="88">
        <v>10676</v>
      </c>
      <c r="E75" s="88">
        <v>0</v>
      </c>
      <c r="F75" s="88">
        <v>0</v>
      </c>
      <c r="G75" s="88">
        <v>0</v>
      </c>
      <c r="H75" s="88">
        <v>0</v>
      </c>
      <c r="I75" s="88">
        <v>0</v>
      </c>
      <c r="J75" s="81"/>
      <c r="K75" s="81"/>
    </row>
    <row r="76" spans="1:11" ht="12" customHeight="1">
      <c r="A76" s="84"/>
      <c r="B76" s="88" t="s">
        <v>1265</v>
      </c>
      <c r="C76" s="88">
        <v>350</v>
      </c>
      <c r="D76" s="88">
        <v>1551</v>
      </c>
      <c r="E76" s="88">
        <v>910</v>
      </c>
      <c r="F76" s="88">
        <v>700</v>
      </c>
      <c r="G76" s="88">
        <v>2391</v>
      </c>
      <c r="H76" s="88">
        <v>820</v>
      </c>
      <c r="I76" s="88">
        <v>668</v>
      </c>
      <c r="J76" s="81"/>
      <c r="K76" s="81"/>
    </row>
    <row r="77" spans="1:11" ht="12" customHeight="1">
      <c r="A77" s="84"/>
      <c r="B77" s="88" t="s">
        <v>1266</v>
      </c>
      <c r="C77" s="88">
        <v>0</v>
      </c>
      <c r="D77" s="88">
        <v>0</v>
      </c>
      <c r="E77" s="88">
        <v>0</v>
      </c>
      <c r="F77" s="88">
        <v>0</v>
      </c>
      <c r="G77" s="88">
        <v>0</v>
      </c>
      <c r="H77" s="88">
        <v>0</v>
      </c>
      <c r="I77" s="88">
        <v>0</v>
      </c>
      <c r="J77" s="81"/>
      <c r="K77" s="81"/>
    </row>
    <row r="78" spans="1:11" ht="12" customHeight="1">
      <c r="A78" s="84"/>
      <c r="B78" s="88" t="s">
        <v>1267</v>
      </c>
      <c r="C78" s="88">
        <v>1604</v>
      </c>
      <c r="D78" s="88">
        <v>2106</v>
      </c>
      <c r="E78" s="88">
        <v>2144</v>
      </c>
      <c r="F78" s="88">
        <v>1796</v>
      </c>
      <c r="G78" s="88">
        <v>3190</v>
      </c>
      <c r="H78" s="88">
        <v>2221</v>
      </c>
      <c r="I78" s="88">
        <v>2528</v>
      </c>
      <c r="J78" s="81"/>
      <c r="K78" s="81"/>
    </row>
    <row r="79" spans="1:11" ht="12" customHeight="1">
      <c r="A79" s="84"/>
      <c r="B79" s="88" t="s">
        <v>1268</v>
      </c>
      <c r="C79" s="88">
        <v>1500</v>
      </c>
      <c r="D79" s="88">
        <v>1500</v>
      </c>
      <c r="E79" s="88">
        <v>2250</v>
      </c>
      <c r="F79" s="88">
        <v>1500</v>
      </c>
      <c r="G79" s="88">
        <v>3000</v>
      </c>
      <c r="H79" s="88">
        <v>1500</v>
      </c>
      <c r="I79" s="88">
        <v>1500</v>
      </c>
      <c r="J79" s="81"/>
      <c r="K79" s="81"/>
    </row>
    <row r="80" spans="1:11" ht="12" customHeight="1">
      <c r="A80" s="84"/>
      <c r="B80" s="88" t="s">
        <v>1269</v>
      </c>
      <c r="C80" s="88">
        <v>1818</v>
      </c>
      <c r="D80" s="88">
        <v>1957</v>
      </c>
      <c r="E80" s="88">
        <v>2986</v>
      </c>
      <c r="F80" s="88">
        <v>1823</v>
      </c>
      <c r="G80" s="88">
        <v>4634</v>
      </c>
      <c r="H80" s="88">
        <v>1935</v>
      </c>
      <c r="I80" s="88">
        <v>2665</v>
      </c>
      <c r="J80" s="81"/>
      <c r="K80" s="81"/>
    </row>
    <row r="81" spans="1:11" ht="12.75" customHeight="1">
      <c r="A81" s="84" t="s">
        <v>265</v>
      </c>
      <c r="B81" s="85" t="s">
        <v>96</v>
      </c>
      <c r="C81" s="85">
        <v>0</v>
      </c>
      <c r="D81" s="85">
        <v>0</v>
      </c>
      <c r="E81" s="85">
        <v>0</v>
      </c>
      <c r="F81" s="85">
        <v>0</v>
      </c>
      <c r="G81" s="85">
        <v>0</v>
      </c>
      <c r="H81" s="85">
        <v>0</v>
      </c>
      <c r="I81" s="85">
        <v>0</v>
      </c>
      <c r="J81" s="81"/>
      <c r="K81" s="81"/>
    </row>
    <row r="82" spans="1:11" ht="12.75" customHeight="1">
      <c r="A82" s="84" t="s">
        <v>1347</v>
      </c>
      <c r="B82" s="85" t="s">
        <v>1348</v>
      </c>
      <c r="C82" s="85">
        <v>0</v>
      </c>
      <c r="D82" s="85">
        <v>0</v>
      </c>
      <c r="E82" s="85">
        <v>0</v>
      </c>
      <c r="F82" s="85">
        <v>0</v>
      </c>
      <c r="G82" s="85">
        <v>0</v>
      </c>
      <c r="H82" s="85">
        <v>0</v>
      </c>
      <c r="I82" s="85">
        <v>1200</v>
      </c>
      <c r="J82" s="81"/>
      <c r="K82" s="81"/>
    </row>
    <row r="83" spans="1:11" ht="12.75" customHeight="1">
      <c r="A83" s="84" t="s">
        <v>1349</v>
      </c>
      <c r="B83" s="85" t="s">
        <v>161</v>
      </c>
      <c r="C83" s="85">
        <v>0</v>
      </c>
      <c r="D83" s="85">
        <v>0</v>
      </c>
      <c r="E83" s="85">
        <v>0</v>
      </c>
      <c r="F83" s="85">
        <v>0</v>
      </c>
      <c r="G83" s="85">
        <v>0</v>
      </c>
      <c r="H83" s="85">
        <v>0</v>
      </c>
      <c r="I83" s="85">
        <v>0</v>
      </c>
      <c r="J83" s="81"/>
      <c r="K83" s="81"/>
    </row>
    <row r="84" spans="1:11" ht="11.25" customHeight="1">
      <c r="A84" s="92"/>
      <c r="B84" s="93" t="s">
        <v>1270</v>
      </c>
      <c r="C84" s="93">
        <f aca="true" t="shared" si="5" ref="C84:I84">SUM(C67,C68:C71,C72,C81:C83)</f>
        <v>149936</v>
      </c>
      <c r="D84" s="93">
        <f t="shared" si="5"/>
        <v>212612</v>
      </c>
      <c r="E84" s="93">
        <f t="shared" si="5"/>
        <v>150812</v>
      </c>
      <c r="F84" s="93">
        <f t="shared" si="5"/>
        <v>143038</v>
      </c>
      <c r="G84" s="93">
        <f t="shared" si="5"/>
        <v>252510</v>
      </c>
      <c r="H84" s="93">
        <f t="shared" si="5"/>
        <v>201527</v>
      </c>
      <c r="I84" s="93">
        <f t="shared" si="5"/>
        <v>166989</v>
      </c>
      <c r="J84" s="81"/>
      <c r="K84" s="81"/>
    </row>
    <row r="85" spans="1:11" s="46" customFormat="1" ht="12.75" customHeight="1">
      <c r="A85" s="94"/>
      <c r="B85" s="95" t="s">
        <v>231</v>
      </c>
      <c r="C85" s="250">
        <v>49</v>
      </c>
      <c r="D85" s="250">
        <v>58.1</v>
      </c>
      <c r="E85" s="250">
        <v>45.4</v>
      </c>
      <c r="F85" s="250">
        <v>47.6</v>
      </c>
      <c r="G85" s="250">
        <v>83.5</v>
      </c>
      <c r="H85" s="250">
        <v>74.5</v>
      </c>
      <c r="I85" s="250">
        <v>49.5</v>
      </c>
      <c r="J85" s="81"/>
      <c r="K85" s="81"/>
    </row>
    <row r="86" spans="1:11" s="46" customFormat="1" ht="12.75" customHeight="1">
      <c r="A86" s="94"/>
      <c r="B86" s="95" t="s">
        <v>232</v>
      </c>
      <c r="C86" s="250">
        <v>34.5</v>
      </c>
      <c r="D86" s="250">
        <v>47.1</v>
      </c>
      <c r="E86" s="250">
        <v>34.4</v>
      </c>
      <c r="F86" s="250">
        <v>35.6</v>
      </c>
      <c r="G86" s="250">
        <v>62.5</v>
      </c>
      <c r="H86" s="250">
        <v>53.5</v>
      </c>
      <c r="I86" s="250">
        <v>38</v>
      </c>
      <c r="J86" s="81"/>
      <c r="K86" s="81"/>
    </row>
    <row r="87" spans="1:11" ht="12.75" customHeight="1">
      <c r="A87" s="94"/>
      <c r="B87" s="95"/>
      <c r="C87" s="95"/>
      <c r="D87" s="95"/>
      <c r="E87" s="95"/>
      <c r="F87" s="95"/>
      <c r="G87" s="95"/>
      <c r="H87" s="95"/>
      <c r="I87" s="95"/>
      <c r="J87" s="81"/>
      <c r="K87" s="81"/>
    </row>
    <row r="88" spans="1:11" ht="12.75" customHeight="1">
      <c r="A88" s="94"/>
      <c r="B88" s="95"/>
      <c r="C88" s="103"/>
      <c r="D88" s="103"/>
      <c r="E88" s="103"/>
      <c r="F88" s="103"/>
      <c r="G88" s="203"/>
      <c r="H88" s="1552" t="s">
        <v>384</v>
      </c>
      <c r="I88" s="1552"/>
      <c r="J88" s="81"/>
      <c r="K88" s="81"/>
    </row>
    <row r="89" spans="1:11" ht="18.75" customHeight="1">
      <c r="A89" s="1545" t="s">
        <v>172</v>
      </c>
      <c r="B89" s="1546"/>
      <c r="C89" s="1555" t="s">
        <v>954</v>
      </c>
      <c r="D89" s="1556"/>
      <c r="E89" s="1556"/>
      <c r="F89" s="1556"/>
      <c r="G89" s="1556"/>
      <c r="H89" s="1556"/>
      <c r="I89" s="1557"/>
      <c r="J89" s="81"/>
      <c r="K89" s="81"/>
    </row>
    <row r="90" spans="1:11" ht="45.75" customHeight="1">
      <c r="A90" s="1547"/>
      <c r="B90" s="1548"/>
      <c r="C90" s="469" t="s">
        <v>980</v>
      </c>
      <c r="D90" s="472" t="s">
        <v>61</v>
      </c>
      <c r="E90" s="472" t="s">
        <v>62</v>
      </c>
      <c r="F90" s="472" t="s">
        <v>63</v>
      </c>
      <c r="G90" s="469" t="s">
        <v>981</v>
      </c>
      <c r="H90" s="469" t="s">
        <v>1412</v>
      </c>
      <c r="I90" s="473" t="s">
        <v>982</v>
      </c>
      <c r="J90" s="81"/>
      <c r="K90" s="81"/>
    </row>
    <row r="91" spans="1:11" ht="12.75" customHeight="1">
      <c r="A91" s="84"/>
      <c r="B91" s="85" t="s">
        <v>66</v>
      </c>
      <c r="C91" s="199"/>
      <c r="D91" s="477"/>
      <c r="E91" s="199"/>
      <c r="F91" s="199"/>
      <c r="G91" s="200"/>
      <c r="H91" s="199"/>
      <c r="I91" s="199"/>
      <c r="J91" s="81"/>
      <c r="K91" s="81"/>
    </row>
    <row r="92" spans="1:11" ht="12.75" customHeight="1">
      <c r="A92" s="86"/>
      <c r="B92" s="87" t="s">
        <v>67</v>
      </c>
      <c r="C92" s="88">
        <v>0</v>
      </c>
      <c r="D92" s="478">
        <v>0</v>
      </c>
      <c r="E92" s="88">
        <v>0</v>
      </c>
      <c r="F92" s="88">
        <v>0</v>
      </c>
      <c r="G92" s="88">
        <v>0</v>
      </c>
      <c r="H92" s="88">
        <v>0</v>
      </c>
      <c r="I92" s="88">
        <v>0</v>
      </c>
      <c r="J92" s="81"/>
      <c r="K92" s="81"/>
    </row>
    <row r="93" spans="1:11" ht="12.75" customHeight="1">
      <c r="A93" s="86"/>
      <c r="B93" s="87" t="s">
        <v>68</v>
      </c>
      <c r="C93" s="88">
        <v>3615</v>
      </c>
      <c r="D93" s="478">
        <v>1850</v>
      </c>
      <c r="E93" s="88">
        <v>360</v>
      </c>
      <c r="F93" s="88">
        <v>1580</v>
      </c>
      <c r="G93" s="88">
        <v>656</v>
      </c>
      <c r="H93" s="88">
        <v>1268</v>
      </c>
      <c r="I93" s="88">
        <v>2680</v>
      </c>
      <c r="J93" s="81"/>
      <c r="K93" s="81"/>
    </row>
    <row r="94" spans="1:11" ht="12.75" customHeight="1">
      <c r="A94" s="86"/>
      <c r="B94" s="87" t="s">
        <v>69</v>
      </c>
      <c r="C94" s="88">
        <v>260</v>
      </c>
      <c r="D94" s="478">
        <v>0</v>
      </c>
      <c r="E94" s="88">
        <v>0</v>
      </c>
      <c r="F94" s="88">
        <v>1202</v>
      </c>
      <c r="G94" s="88"/>
      <c r="H94" s="88">
        <v>0</v>
      </c>
      <c r="I94" s="88">
        <v>0</v>
      </c>
      <c r="J94" s="81"/>
      <c r="K94" s="81"/>
    </row>
    <row r="95" spans="1:11" ht="12.75" customHeight="1">
      <c r="A95" s="86"/>
      <c r="B95" s="87" t="s">
        <v>1250</v>
      </c>
      <c r="C95" s="88">
        <v>0</v>
      </c>
      <c r="D95" s="478">
        <v>0</v>
      </c>
      <c r="E95" s="88">
        <v>0</v>
      </c>
      <c r="F95" s="88">
        <v>0</v>
      </c>
      <c r="G95" s="88">
        <v>0</v>
      </c>
      <c r="H95" s="88">
        <v>0</v>
      </c>
      <c r="I95" s="88">
        <v>0</v>
      </c>
      <c r="J95" s="81"/>
      <c r="K95" s="81"/>
    </row>
    <row r="96" spans="1:11" ht="12.75" customHeight="1">
      <c r="A96" s="86" t="s">
        <v>950</v>
      </c>
      <c r="B96" s="89" t="s">
        <v>1251</v>
      </c>
      <c r="C96" s="85">
        <v>3875</v>
      </c>
      <c r="D96" s="479">
        <v>1850</v>
      </c>
      <c r="E96" s="85">
        <v>360</v>
      </c>
      <c r="F96" s="85">
        <v>2782</v>
      </c>
      <c r="G96" s="85">
        <v>656</v>
      </c>
      <c r="H96" s="85">
        <v>1268</v>
      </c>
      <c r="I96" s="85">
        <v>2680</v>
      </c>
      <c r="J96" s="81"/>
      <c r="K96" s="81"/>
    </row>
    <row r="97" spans="1:11" ht="12.75" customHeight="1">
      <c r="A97" s="86" t="s">
        <v>951</v>
      </c>
      <c r="B97" s="89" t="s">
        <v>134</v>
      </c>
      <c r="C97" s="85">
        <v>0</v>
      </c>
      <c r="D97" s="479">
        <v>0</v>
      </c>
      <c r="E97" s="85">
        <v>0</v>
      </c>
      <c r="F97" s="85">
        <v>0</v>
      </c>
      <c r="G97" s="85">
        <v>0</v>
      </c>
      <c r="H97" s="85">
        <v>0</v>
      </c>
      <c r="I97" s="85">
        <v>0</v>
      </c>
      <c r="J97" s="81"/>
      <c r="K97" s="81"/>
    </row>
    <row r="98" spans="1:11" ht="12.75" customHeight="1">
      <c r="A98" s="86" t="s">
        <v>198</v>
      </c>
      <c r="B98" s="89" t="s">
        <v>1253</v>
      </c>
      <c r="C98" s="201">
        <v>0</v>
      </c>
      <c r="D98" s="480">
        <v>0</v>
      </c>
      <c r="E98" s="201">
        <v>0</v>
      </c>
      <c r="F98" s="201">
        <v>0</v>
      </c>
      <c r="G98" s="201">
        <v>608</v>
      </c>
      <c r="H98" s="201">
        <v>0</v>
      </c>
      <c r="I98" s="201">
        <v>0</v>
      </c>
      <c r="J98" s="81"/>
      <c r="K98" s="81"/>
    </row>
    <row r="99" spans="1:11" ht="12.75" customHeight="1">
      <c r="A99" s="86"/>
      <c r="B99" s="87" t="s">
        <v>1254</v>
      </c>
      <c r="C99" s="90">
        <v>0</v>
      </c>
      <c r="D99" s="481">
        <v>0</v>
      </c>
      <c r="E99" s="90">
        <v>0</v>
      </c>
      <c r="F99" s="90">
        <v>0</v>
      </c>
      <c r="G99" s="90">
        <v>608</v>
      </c>
      <c r="H99" s="90">
        <v>0</v>
      </c>
      <c r="I99" s="90">
        <v>0</v>
      </c>
      <c r="J99" s="81"/>
      <c r="K99" s="81"/>
    </row>
    <row r="100" spans="1:11" ht="12.75" customHeight="1">
      <c r="A100" s="86"/>
      <c r="B100" s="87" t="s">
        <v>1255</v>
      </c>
      <c r="C100" s="90"/>
      <c r="D100" s="482"/>
      <c r="E100" s="90"/>
      <c r="F100" s="90"/>
      <c r="G100" s="90"/>
      <c r="H100" s="90"/>
      <c r="I100" s="88"/>
      <c r="J100" s="81"/>
      <c r="K100" s="81"/>
    </row>
    <row r="101" spans="1:11" ht="12.75" customHeight="1">
      <c r="A101" s="86"/>
      <c r="B101" s="87" t="s">
        <v>1256</v>
      </c>
      <c r="C101" s="90">
        <v>0</v>
      </c>
      <c r="D101" s="481">
        <v>0</v>
      </c>
      <c r="E101" s="90">
        <v>0</v>
      </c>
      <c r="F101" s="90">
        <v>0</v>
      </c>
      <c r="G101" s="90">
        <v>0</v>
      </c>
      <c r="H101" s="90">
        <v>0</v>
      </c>
      <c r="I101" s="90">
        <v>0</v>
      </c>
      <c r="J101" s="81"/>
      <c r="K101" s="81"/>
    </row>
    <row r="102" spans="1:11" ht="12.75" customHeight="1">
      <c r="A102" s="86"/>
      <c r="B102" s="87" t="s">
        <v>1255</v>
      </c>
      <c r="C102" s="88"/>
      <c r="D102" s="478"/>
      <c r="E102" s="88"/>
      <c r="F102" s="88"/>
      <c r="G102" s="88"/>
      <c r="H102" s="88"/>
      <c r="I102" s="88"/>
      <c r="J102" s="81"/>
      <c r="K102" s="81"/>
    </row>
    <row r="103" spans="1:11" ht="12.75" customHeight="1">
      <c r="A103" s="86" t="s">
        <v>259</v>
      </c>
      <c r="B103" s="89" t="s">
        <v>260</v>
      </c>
      <c r="C103" s="85">
        <v>0</v>
      </c>
      <c r="D103" s="483">
        <v>0</v>
      </c>
      <c r="E103" s="85">
        <v>0</v>
      </c>
      <c r="F103" s="85">
        <v>0</v>
      </c>
      <c r="G103" s="85">
        <v>4500</v>
      </c>
      <c r="H103" s="85">
        <v>0</v>
      </c>
      <c r="I103" s="85">
        <v>0</v>
      </c>
      <c r="J103" s="81"/>
      <c r="K103" s="81"/>
    </row>
    <row r="104" spans="1:11" ht="12.75" customHeight="1">
      <c r="A104" s="86"/>
      <c r="B104" s="87" t="s">
        <v>1257</v>
      </c>
      <c r="C104" s="88">
        <v>0</v>
      </c>
      <c r="D104" s="484">
        <v>0</v>
      </c>
      <c r="E104" s="88">
        <v>0</v>
      </c>
      <c r="F104" s="88">
        <v>0</v>
      </c>
      <c r="G104" s="88">
        <v>4500</v>
      </c>
      <c r="H104" s="88">
        <v>0</v>
      </c>
      <c r="I104" s="88">
        <v>0</v>
      </c>
      <c r="J104" s="81"/>
      <c r="K104" s="81"/>
    </row>
    <row r="105" spans="1:11" ht="12.75" customHeight="1">
      <c r="A105" s="86"/>
      <c r="B105" s="87" t="s">
        <v>1258</v>
      </c>
      <c r="C105" s="88">
        <v>0</v>
      </c>
      <c r="D105" s="484">
        <v>0</v>
      </c>
      <c r="E105" s="88">
        <v>0</v>
      </c>
      <c r="F105" s="88">
        <v>0</v>
      </c>
      <c r="G105" s="88">
        <v>0</v>
      </c>
      <c r="H105" s="88">
        <v>0</v>
      </c>
      <c r="I105" s="88">
        <v>0</v>
      </c>
      <c r="J105" s="81"/>
      <c r="K105" s="81"/>
    </row>
    <row r="106" spans="1:11" ht="12.75" customHeight="1">
      <c r="A106" s="84" t="s">
        <v>262</v>
      </c>
      <c r="B106" s="85" t="s">
        <v>1259</v>
      </c>
      <c r="C106" s="85">
        <v>213747</v>
      </c>
      <c r="D106" s="485">
        <v>306580</v>
      </c>
      <c r="E106" s="85">
        <v>207155</v>
      </c>
      <c r="F106" s="85">
        <v>257220</v>
      </c>
      <c r="G106" s="85">
        <v>229141</v>
      </c>
      <c r="H106" s="85">
        <v>248889</v>
      </c>
      <c r="I106" s="85">
        <v>138184</v>
      </c>
      <c r="J106" s="81"/>
      <c r="K106" s="81"/>
    </row>
    <row r="107" spans="1:11" ht="10.5" customHeight="1">
      <c r="A107" s="91"/>
      <c r="B107" s="93" t="s">
        <v>1260</v>
      </c>
      <c r="C107" s="93">
        <f aca="true" t="shared" si="6" ref="C107:I107">SUM(C106,C103,C98,C97,C96)</f>
        <v>217622</v>
      </c>
      <c r="D107" s="93">
        <f t="shared" si="6"/>
        <v>308430</v>
      </c>
      <c r="E107" s="93">
        <f t="shared" si="6"/>
        <v>207515</v>
      </c>
      <c r="F107" s="93">
        <f t="shared" si="6"/>
        <v>260002</v>
      </c>
      <c r="G107" s="93">
        <f t="shared" si="6"/>
        <v>234905</v>
      </c>
      <c r="H107" s="93">
        <f t="shared" si="6"/>
        <v>250157</v>
      </c>
      <c r="I107" s="93">
        <f t="shared" si="6"/>
        <v>140864</v>
      </c>
      <c r="J107" s="81"/>
      <c r="K107" s="81"/>
    </row>
    <row r="108" spans="1:11" ht="12.75" customHeight="1">
      <c r="A108" s="84"/>
      <c r="B108" s="85" t="s">
        <v>1261</v>
      </c>
      <c r="C108" s="88"/>
      <c r="D108" s="486"/>
      <c r="E108" s="88"/>
      <c r="F108" s="88"/>
      <c r="G108" s="88"/>
      <c r="H108" s="88"/>
      <c r="I108" s="88"/>
      <c r="J108" s="81"/>
      <c r="K108" s="81"/>
    </row>
    <row r="109" spans="1:11" ht="12.75" customHeight="1">
      <c r="A109" s="84" t="s">
        <v>950</v>
      </c>
      <c r="B109" s="85" t="s">
        <v>89</v>
      </c>
      <c r="C109" s="85">
        <v>140762</v>
      </c>
      <c r="D109" s="479">
        <v>199810</v>
      </c>
      <c r="E109" s="85">
        <v>143496</v>
      </c>
      <c r="F109" s="85">
        <v>166153</v>
      </c>
      <c r="G109" s="85">
        <v>158967</v>
      </c>
      <c r="H109" s="85">
        <v>160444</v>
      </c>
      <c r="I109" s="85">
        <v>95786</v>
      </c>
      <c r="J109" s="81"/>
      <c r="K109" s="81"/>
    </row>
    <row r="110" spans="1:11" ht="12.75" customHeight="1">
      <c r="A110" s="84" t="s">
        <v>951</v>
      </c>
      <c r="B110" s="85" t="s">
        <v>892</v>
      </c>
      <c r="C110" s="85">
        <v>40526</v>
      </c>
      <c r="D110" s="479">
        <v>57552</v>
      </c>
      <c r="E110" s="85">
        <v>41350</v>
      </c>
      <c r="F110" s="85">
        <v>47910</v>
      </c>
      <c r="G110" s="85">
        <v>45820</v>
      </c>
      <c r="H110" s="85">
        <v>46219</v>
      </c>
      <c r="I110" s="85">
        <v>27565</v>
      </c>
      <c r="J110" s="81"/>
      <c r="K110" s="81"/>
    </row>
    <row r="111" spans="1:11" ht="12.75" customHeight="1">
      <c r="A111" s="84" t="s">
        <v>198</v>
      </c>
      <c r="B111" s="85" t="s">
        <v>893</v>
      </c>
      <c r="C111" s="85">
        <v>4193</v>
      </c>
      <c r="D111" s="479">
        <v>5954</v>
      </c>
      <c r="E111" s="85">
        <v>4277</v>
      </c>
      <c r="F111" s="85">
        <v>4957</v>
      </c>
      <c r="G111" s="85">
        <v>4740</v>
      </c>
      <c r="H111" s="85">
        <v>4781</v>
      </c>
      <c r="I111" s="85">
        <v>2851</v>
      </c>
      <c r="J111" s="81"/>
      <c r="K111" s="81"/>
    </row>
    <row r="112" spans="1:11" ht="12.75" customHeight="1">
      <c r="A112" s="84" t="s">
        <v>259</v>
      </c>
      <c r="B112" s="85" t="s">
        <v>1083</v>
      </c>
      <c r="C112" s="85">
        <v>1542</v>
      </c>
      <c r="D112" s="479">
        <v>2204</v>
      </c>
      <c r="E112" s="85">
        <v>1420</v>
      </c>
      <c r="F112" s="85">
        <v>1474</v>
      </c>
      <c r="G112" s="85">
        <v>1615</v>
      </c>
      <c r="H112" s="85">
        <v>1743</v>
      </c>
      <c r="I112" s="85">
        <v>1057</v>
      </c>
      <c r="J112" s="81"/>
      <c r="K112" s="81"/>
    </row>
    <row r="113" spans="1:11" ht="12.75" customHeight="1">
      <c r="A113" s="84" t="s">
        <v>262</v>
      </c>
      <c r="B113" s="85" t="s">
        <v>1346</v>
      </c>
      <c r="C113" s="85"/>
      <c r="D113" s="479"/>
      <c r="E113" s="85"/>
      <c r="F113" s="85"/>
      <c r="G113" s="85"/>
      <c r="H113" s="85"/>
      <c r="I113" s="85"/>
      <c r="J113" s="81"/>
      <c r="K113" s="81"/>
    </row>
    <row r="114" spans="1:11" ht="12.75" customHeight="1">
      <c r="A114" s="84" t="s">
        <v>264</v>
      </c>
      <c r="B114" s="85" t="s">
        <v>93</v>
      </c>
      <c r="C114" s="85">
        <v>30599</v>
      </c>
      <c r="D114" s="479">
        <v>42910</v>
      </c>
      <c r="E114" s="85">
        <v>16972</v>
      </c>
      <c r="F114" s="85">
        <v>23008</v>
      </c>
      <c r="G114" s="85">
        <v>19263</v>
      </c>
      <c r="H114" s="85">
        <v>36970</v>
      </c>
      <c r="I114" s="85">
        <v>13605</v>
      </c>
      <c r="J114" s="81"/>
      <c r="K114" s="81"/>
    </row>
    <row r="115" spans="1:11" ht="12" customHeight="1">
      <c r="A115" s="84"/>
      <c r="B115" s="88" t="s">
        <v>1262</v>
      </c>
      <c r="C115" s="88">
        <v>0</v>
      </c>
      <c r="D115" s="478">
        <v>0</v>
      </c>
      <c r="E115" s="88">
        <v>6947</v>
      </c>
      <c r="F115" s="88">
        <v>7218</v>
      </c>
      <c r="G115" s="88">
        <v>8314</v>
      </c>
      <c r="H115" s="88">
        <v>118</v>
      </c>
      <c r="I115" s="88">
        <v>5627</v>
      </c>
      <c r="J115" s="81"/>
      <c r="K115" s="81"/>
    </row>
    <row r="116" spans="1:11" ht="12" customHeight="1">
      <c r="A116" s="84"/>
      <c r="B116" s="88" t="s">
        <v>1263</v>
      </c>
      <c r="C116" s="88">
        <v>2839</v>
      </c>
      <c r="D116" s="478">
        <v>3999</v>
      </c>
      <c r="E116" s="88">
        <v>2952</v>
      </c>
      <c r="F116" s="88">
        <v>3858</v>
      </c>
      <c r="G116" s="88">
        <v>2625</v>
      </c>
      <c r="H116" s="88">
        <v>4652</v>
      </c>
      <c r="I116" s="88">
        <v>2197</v>
      </c>
      <c r="J116" s="81"/>
      <c r="K116" s="81"/>
    </row>
    <row r="117" spans="1:11" ht="12" customHeight="1">
      <c r="A117" s="84"/>
      <c r="B117" s="88" t="s">
        <v>1264</v>
      </c>
      <c r="C117" s="88">
        <v>15894</v>
      </c>
      <c r="D117" s="478">
        <v>21049</v>
      </c>
      <c r="E117" s="88">
        <v>0</v>
      </c>
      <c r="F117" s="88">
        <v>0</v>
      </c>
      <c r="G117" s="88">
        <v>0</v>
      </c>
      <c r="H117" s="88">
        <v>19843</v>
      </c>
      <c r="I117" s="88">
        <v>0</v>
      </c>
      <c r="J117" s="81"/>
      <c r="K117" s="81"/>
    </row>
    <row r="118" spans="1:11" ht="12" customHeight="1">
      <c r="A118" s="84"/>
      <c r="B118" s="88" t="s">
        <v>1265</v>
      </c>
      <c r="C118" s="88">
        <v>1507</v>
      </c>
      <c r="D118" s="478">
        <v>2600</v>
      </c>
      <c r="E118" s="88">
        <v>600</v>
      </c>
      <c r="F118" s="88">
        <v>1320</v>
      </c>
      <c r="G118" s="88">
        <v>562</v>
      </c>
      <c r="H118" s="88">
        <v>1253</v>
      </c>
      <c r="I118" s="88">
        <v>407</v>
      </c>
      <c r="J118" s="81"/>
      <c r="K118" s="81"/>
    </row>
    <row r="119" spans="1:11" ht="12" customHeight="1">
      <c r="A119" s="84"/>
      <c r="B119" s="88" t="s">
        <v>1266</v>
      </c>
      <c r="C119" s="88">
        <v>0</v>
      </c>
      <c r="D119" s="478">
        <v>0</v>
      </c>
      <c r="E119" s="88">
        <v>0</v>
      </c>
      <c r="F119" s="88">
        <v>0</v>
      </c>
      <c r="G119" s="88">
        <v>0</v>
      </c>
      <c r="H119" s="88">
        <v>0</v>
      </c>
      <c r="I119" s="88">
        <v>0</v>
      </c>
      <c r="J119" s="81"/>
      <c r="K119" s="81"/>
    </row>
    <row r="120" spans="1:11" ht="12" customHeight="1">
      <c r="A120" s="84"/>
      <c r="B120" s="88" t="s">
        <v>1267</v>
      </c>
      <c r="C120" s="88">
        <v>2886</v>
      </c>
      <c r="D120" s="478">
        <v>4078</v>
      </c>
      <c r="E120" s="88">
        <v>1653</v>
      </c>
      <c r="F120" s="88">
        <v>1868</v>
      </c>
      <c r="G120" s="88">
        <v>1896</v>
      </c>
      <c r="H120" s="88">
        <v>2174</v>
      </c>
      <c r="I120" s="88">
        <v>1300</v>
      </c>
      <c r="J120" s="81"/>
      <c r="K120" s="81"/>
    </row>
    <row r="121" spans="1:11" ht="12" customHeight="1">
      <c r="A121" s="84"/>
      <c r="B121" s="88" t="s">
        <v>1268</v>
      </c>
      <c r="C121" s="88">
        <v>1500</v>
      </c>
      <c r="D121" s="478">
        <v>3000</v>
      </c>
      <c r="E121" s="88">
        <v>1500</v>
      </c>
      <c r="F121" s="88">
        <v>1500</v>
      </c>
      <c r="G121" s="88">
        <v>1500</v>
      </c>
      <c r="H121" s="88">
        <v>1500</v>
      </c>
      <c r="I121" s="88">
        <v>1500</v>
      </c>
      <c r="J121" s="81"/>
      <c r="K121" s="81"/>
    </row>
    <row r="122" spans="1:11" ht="12" customHeight="1">
      <c r="A122" s="84"/>
      <c r="B122" s="88" t="s">
        <v>1269</v>
      </c>
      <c r="C122" s="88">
        <v>4739</v>
      </c>
      <c r="D122" s="478">
        <v>6642</v>
      </c>
      <c r="E122" s="88">
        <v>2624</v>
      </c>
      <c r="F122" s="88">
        <v>3034</v>
      </c>
      <c r="G122" s="88">
        <v>2871</v>
      </c>
      <c r="H122" s="88">
        <v>5889</v>
      </c>
      <c r="I122" s="88">
        <v>2106</v>
      </c>
      <c r="J122" s="81"/>
      <c r="K122" s="81"/>
    </row>
    <row r="123" spans="1:11" ht="12.75" customHeight="1">
      <c r="A123" s="84" t="s">
        <v>265</v>
      </c>
      <c r="B123" s="85" t="s">
        <v>96</v>
      </c>
      <c r="C123" s="85">
        <v>0</v>
      </c>
      <c r="D123" s="479">
        <v>0</v>
      </c>
      <c r="E123" s="85">
        <v>0</v>
      </c>
      <c r="F123" s="85">
        <v>0</v>
      </c>
      <c r="G123" s="85">
        <v>0</v>
      </c>
      <c r="H123" s="85">
        <v>0</v>
      </c>
      <c r="I123" s="85">
        <v>0</v>
      </c>
      <c r="J123" s="81"/>
      <c r="K123" s="81"/>
    </row>
    <row r="124" spans="1:11" ht="12.75" customHeight="1">
      <c r="A124" s="84" t="s">
        <v>1347</v>
      </c>
      <c r="B124" s="85" t="s">
        <v>1348</v>
      </c>
      <c r="C124" s="85">
        <v>0</v>
      </c>
      <c r="D124" s="479">
        <v>0</v>
      </c>
      <c r="E124" s="85">
        <v>0</v>
      </c>
      <c r="F124" s="85">
        <v>16500</v>
      </c>
      <c r="G124" s="85">
        <v>0</v>
      </c>
      <c r="H124" s="85">
        <v>0</v>
      </c>
      <c r="I124" s="85">
        <v>0</v>
      </c>
      <c r="J124" s="81"/>
      <c r="K124" s="81"/>
    </row>
    <row r="125" spans="1:11" ht="12.75" customHeight="1">
      <c r="A125" s="84" t="s">
        <v>1349</v>
      </c>
      <c r="B125" s="85" t="s">
        <v>161</v>
      </c>
      <c r="C125" s="85">
        <v>0</v>
      </c>
      <c r="D125" s="487">
        <v>0</v>
      </c>
      <c r="E125" s="85">
        <v>0</v>
      </c>
      <c r="F125" s="85">
        <v>0</v>
      </c>
      <c r="G125" s="85">
        <v>4500</v>
      </c>
      <c r="H125" s="85">
        <v>0</v>
      </c>
      <c r="I125" s="85">
        <v>0</v>
      </c>
      <c r="J125" s="81"/>
      <c r="K125" s="81"/>
    </row>
    <row r="126" spans="1:11" ht="11.25" customHeight="1">
      <c r="A126" s="92"/>
      <c r="B126" s="93" t="s">
        <v>1270</v>
      </c>
      <c r="C126" s="93">
        <f aca="true" t="shared" si="7" ref="C126:I126">SUM(C109,C110:C113,C114,C123:C125)</f>
        <v>217622</v>
      </c>
      <c r="D126" s="93">
        <f t="shared" si="7"/>
        <v>308430</v>
      </c>
      <c r="E126" s="93">
        <f t="shared" si="7"/>
        <v>207515</v>
      </c>
      <c r="F126" s="93">
        <f t="shared" si="7"/>
        <v>260002</v>
      </c>
      <c r="G126" s="93">
        <f t="shared" si="7"/>
        <v>234905</v>
      </c>
      <c r="H126" s="93">
        <f t="shared" si="7"/>
        <v>250157</v>
      </c>
      <c r="I126" s="93">
        <f t="shared" si="7"/>
        <v>140864</v>
      </c>
      <c r="J126" s="81"/>
      <c r="K126" s="81"/>
    </row>
    <row r="127" spans="1:11" s="46" customFormat="1" ht="12.75" customHeight="1">
      <c r="A127" s="94"/>
      <c r="B127" s="95" t="s">
        <v>231</v>
      </c>
      <c r="C127" s="250">
        <v>65.9</v>
      </c>
      <c r="D127" s="1265">
        <v>94.2</v>
      </c>
      <c r="E127" s="250">
        <v>60.7</v>
      </c>
      <c r="F127" s="250">
        <v>63</v>
      </c>
      <c r="G127" s="250">
        <v>69</v>
      </c>
      <c r="H127" s="250">
        <v>74.5</v>
      </c>
      <c r="I127" s="250">
        <v>45.15</v>
      </c>
      <c r="J127" s="81"/>
      <c r="K127" s="81"/>
    </row>
    <row r="128" spans="1:11" s="46" customFormat="1" ht="12.75" customHeight="1">
      <c r="A128" s="94"/>
      <c r="B128" s="95" t="s">
        <v>232</v>
      </c>
      <c r="C128" s="250">
        <v>51.4</v>
      </c>
      <c r="D128" s="1266">
        <v>75.2</v>
      </c>
      <c r="E128" s="250">
        <v>43.7</v>
      </c>
      <c r="F128" s="250">
        <v>46</v>
      </c>
      <c r="G128" s="250">
        <v>48</v>
      </c>
      <c r="H128" s="250">
        <v>53</v>
      </c>
      <c r="I128" s="250">
        <v>31.15</v>
      </c>
      <c r="J128" s="81"/>
      <c r="K128" s="81"/>
    </row>
    <row r="129" spans="1:11" ht="12.75" customHeight="1">
      <c r="A129" s="94"/>
      <c r="B129" s="95"/>
      <c r="C129" s="95"/>
      <c r="D129" s="95"/>
      <c r="E129" s="95"/>
      <c r="F129" s="95"/>
      <c r="G129" s="95"/>
      <c r="H129" s="95"/>
      <c r="I129" s="95"/>
      <c r="J129" s="81"/>
      <c r="K129" s="81"/>
    </row>
    <row r="130" spans="1:11" ht="12.75" customHeight="1">
      <c r="A130" s="96"/>
      <c r="B130" s="97"/>
      <c r="C130" s="103"/>
      <c r="D130" s="103"/>
      <c r="E130" s="103"/>
      <c r="F130" s="103"/>
      <c r="G130" s="203"/>
      <c r="H130" s="1552" t="s">
        <v>384</v>
      </c>
      <c r="I130" s="1552"/>
      <c r="J130" s="81"/>
      <c r="K130" s="81"/>
    </row>
    <row r="131" spans="1:11" ht="20.25" customHeight="1">
      <c r="A131" s="1545" t="s">
        <v>172</v>
      </c>
      <c r="B131" s="1546"/>
      <c r="C131" s="1555" t="s">
        <v>954</v>
      </c>
      <c r="D131" s="1556"/>
      <c r="E131" s="1556"/>
      <c r="F131" s="1556"/>
      <c r="G131" s="1556"/>
      <c r="H131" s="1556"/>
      <c r="I131" s="1557"/>
      <c r="J131" s="81"/>
      <c r="K131" s="81"/>
    </row>
    <row r="132" spans="1:11" ht="48.75" customHeight="1">
      <c r="A132" s="1547"/>
      <c r="B132" s="1548"/>
      <c r="C132" s="470" t="s">
        <v>987</v>
      </c>
      <c r="D132" s="472" t="s">
        <v>984</v>
      </c>
      <c r="E132" s="472" t="s">
        <v>985</v>
      </c>
      <c r="F132" s="469" t="s">
        <v>0</v>
      </c>
      <c r="G132" s="469" t="s">
        <v>986</v>
      </c>
      <c r="H132" s="472" t="s">
        <v>983</v>
      </c>
      <c r="I132" s="474" t="s">
        <v>64</v>
      </c>
      <c r="J132" s="81"/>
      <c r="K132" s="81"/>
    </row>
    <row r="133" spans="1:11" ht="12.75" customHeight="1">
      <c r="A133" s="84"/>
      <c r="B133" s="85" t="s">
        <v>66</v>
      </c>
      <c r="C133" s="199"/>
      <c r="D133" s="199"/>
      <c r="E133" s="200"/>
      <c r="F133" s="200"/>
      <c r="G133" s="477"/>
      <c r="H133" s="199"/>
      <c r="I133" s="199"/>
      <c r="J133" s="81"/>
      <c r="K133" s="81"/>
    </row>
    <row r="134" spans="1:11" ht="12.75" customHeight="1">
      <c r="A134" s="86"/>
      <c r="B134" s="87" t="s">
        <v>67</v>
      </c>
      <c r="C134" s="88">
        <v>0</v>
      </c>
      <c r="D134" s="88">
        <v>0</v>
      </c>
      <c r="E134" s="88">
        <v>0</v>
      </c>
      <c r="F134" s="88">
        <v>0</v>
      </c>
      <c r="G134" s="478">
        <v>0</v>
      </c>
      <c r="H134" s="99">
        <v>0</v>
      </c>
      <c r="I134" s="88">
        <v>0</v>
      </c>
      <c r="J134" s="81"/>
      <c r="K134" s="81"/>
    </row>
    <row r="135" spans="1:11" ht="12.75" customHeight="1">
      <c r="A135" s="86"/>
      <c r="B135" s="87" t="s">
        <v>68</v>
      </c>
      <c r="C135" s="88">
        <v>1009</v>
      </c>
      <c r="D135" s="88">
        <v>6641</v>
      </c>
      <c r="E135" s="88">
        <v>2105</v>
      </c>
      <c r="F135" s="88">
        <v>8107</v>
      </c>
      <c r="G135" s="478">
        <v>775</v>
      </c>
      <c r="H135" s="99">
        <v>2339</v>
      </c>
      <c r="I135" s="88">
        <v>6000</v>
      </c>
      <c r="J135" s="81"/>
      <c r="K135" s="81"/>
    </row>
    <row r="136" spans="1:11" ht="12.75" customHeight="1">
      <c r="A136" s="86"/>
      <c r="B136" s="87" t="s">
        <v>69</v>
      </c>
      <c r="C136" s="88">
        <v>80</v>
      </c>
      <c r="D136" s="88">
        <v>356</v>
      </c>
      <c r="E136" s="88">
        <v>0</v>
      </c>
      <c r="F136" s="88">
        <v>615</v>
      </c>
      <c r="G136" s="478">
        <v>0</v>
      </c>
      <c r="H136" s="99">
        <v>470</v>
      </c>
      <c r="I136" s="88">
        <v>560</v>
      </c>
      <c r="J136" s="81"/>
      <c r="K136" s="81"/>
    </row>
    <row r="137" spans="1:11" ht="12.75" customHeight="1">
      <c r="A137" s="86"/>
      <c r="B137" s="87" t="s">
        <v>1250</v>
      </c>
      <c r="C137" s="88">
        <v>0</v>
      </c>
      <c r="D137" s="88">
        <v>0</v>
      </c>
      <c r="E137" s="88">
        <v>0</v>
      </c>
      <c r="F137" s="88">
        <v>0</v>
      </c>
      <c r="G137" s="478">
        <v>0</v>
      </c>
      <c r="H137" s="99">
        <v>0</v>
      </c>
      <c r="I137" s="88">
        <v>0</v>
      </c>
      <c r="J137" s="81"/>
      <c r="K137" s="81"/>
    </row>
    <row r="138" spans="1:11" ht="12.75" customHeight="1">
      <c r="A138" s="86" t="s">
        <v>950</v>
      </c>
      <c r="B138" s="89" t="s">
        <v>1251</v>
      </c>
      <c r="C138" s="85">
        <v>1089</v>
      </c>
      <c r="D138" s="85">
        <v>6997</v>
      </c>
      <c r="E138" s="85">
        <v>2105</v>
      </c>
      <c r="F138" s="85">
        <v>8722</v>
      </c>
      <c r="G138" s="479">
        <v>775</v>
      </c>
      <c r="H138" s="85">
        <v>2809</v>
      </c>
      <c r="I138" s="85">
        <v>6560</v>
      </c>
      <c r="J138" s="81"/>
      <c r="K138" s="81"/>
    </row>
    <row r="139" spans="1:11" ht="12.75" customHeight="1">
      <c r="A139" s="86" t="s">
        <v>951</v>
      </c>
      <c r="B139" s="89" t="s">
        <v>134</v>
      </c>
      <c r="C139" s="85">
        <v>0</v>
      </c>
      <c r="D139" s="85">
        <v>0</v>
      </c>
      <c r="E139" s="85">
        <v>0</v>
      </c>
      <c r="F139" s="85">
        <v>0</v>
      </c>
      <c r="G139" s="479">
        <v>0</v>
      </c>
      <c r="H139" s="85">
        <v>0</v>
      </c>
      <c r="I139" s="85">
        <v>0</v>
      </c>
      <c r="J139" s="81"/>
      <c r="K139" s="81"/>
    </row>
    <row r="140" spans="1:11" ht="12.75" customHeight="1">
      <c r="A140" s="86" t="s">
        <v>198</v>
      </c>
      <c r="B140" s="89" t="s">
        <v>1253</v>
      </c>
      <c r="C140" s="201">
        <v>0</v>
      </c>
      <c r="D140" s="201">
        <v>0</v>
      </c>
      <c r="E140" s="201">
        <v>0</v>
      </c>
      <c r="F140" s="201">
        <v>0</v>
      </c>
      <c r="G140" s="480">
        <v>0</v>
      </c>
      <c r="H140" s="201">
        <v>825</v>
      </c>
      <c r="I140" s="201">
        <v>0</v>
      </c>
      <c r="J140" s="81"/>
      <c r="K140" s="81"/>
    </row>
    <row r="141" spans="1:11" ht="12.75" customHeight="1">
      <c r="A141" s="86"/>
      <c r="B141" s="87" t="s">
        <v>1254</v>
      </c>
      <c r="C141" s="90">
        <v>0</v>
      </c>
      <c r="D141" s="90">
        <v>0</v>
      </c>
      <c r="E141" s="90">
        <v>0</v>
      </c>
      <c r="F141" s="90">
        <v>0</v>
      </c>
      <c r="G141" s="481">
        <v>0</v>
      </c>
      <c r="H141" s="90">
        <v>825</v>
      </c>
      <c r="I141" s="90">
        <v>0</v>
      </c>
      <c r="J141" s="81"/>
      <c r="K141" s="81"/>
    </row>
    <row r="142" spans="1:11" ht="12.75" customHeight="1">
      <c r="A142" s="86"/>
      <c r="B142" s="87" t="s">
        <v>1255</v>
      </c>
      <c r="C142" s="90"/>
      <c r="D142" s="90"/>
      <c r="E142" s="90"/>
      <c r="F142" s="90"/>
      <c r="G142" s="482"/>
      <c r="H142" s="102"/>
      <c r="I142" s="88"/>
      <c r="J142" s="81"/>
      <c r="K142" s="81"/>
    </row>
    <row r="143" spans="1:11" ht="12.75" customHeight="1">
      <c r="A143" s="86"/>
      <c r="B143" s="87" t="s">
        <v>1256</v>
      </c>
      <c r="C143" s="90">
        <v>0</v>
      </c>
      <c r="D143" s="90">
        <v>0</v>
      </c>
      <c r="E143" s="90">
        <v>0</v>
      </c>
      <c r="F143" s="90">
        <v>0</v>
      </c>
      <c r="G143" s="481">
        <v>0</v>
      </c>
      <c r="H143" s="90">
        <v>0</v>
      </c>
      <c r="I143" s="90">
        <v>0</v>
      </c>
      <c r="J143" s="81"/>
      <c r="K143" s="81"/>
    </row>
    <row r="144" spans="1:11" ht="12.75" customHeight="1">
      <c r="A144" s="86"/>
      <c r="B144" s="87" t="s">
        <v>1255</v>
      </c>
      <c r="C144" s="88"/>
      <c r="D144" s="88"/>
      <c r="E144" s="88"/>
      <c r="F144" s="88"/>
      <c r="G144" s="478"/>
      <c r="H144" s="88"/>
      <c r="I144" s="88"/>
      <c r="J144" s="81"/>
      <c r="K144" s="81"/>
    </row>
    <row r="145" spans="1:11" ht="12.75" customHeight="1">
      <c r="A145" s="86" t="s">
        <v>259</v>
      </c>
      <c r="B145" s="89" t="s">
        <v>260</v>
      </c>
      <c r="C145" s="85">
        <v>0</v>
      </c>
      <c r="D145" s="85">
        <v>26000</v>
      </c>
      <c r="E145" s="85">
        <v>0</v>
      </c>
      <c r="F145" s="85">
        <v>0</v>
      </c>
      <c r="G145" s="483">
        <v>0</v>
      </c>
      <c r="H145" s="85">
        <v>1300</v>
      </c>
      <c r="I145" s="85">
        <v>0</v>
      </c>
      <c r="J145" s="81"/>
      <c r="K145" s="81"/>
    </row>
    <row r="146" spans="1:11" ht="12.75" customHeight="1">
      <c r="A146" s="86"/>
      <c r="B146" s="87" t="s">
        <v>1257</v>
      </c>
      <c r="C146" s="88">
        <v>0</v>
      </c>
      <c r="D146" s="88">
        <v>26000</v>
      </c>
      <c r="E146" s="88">
        <v>0</v>
      </c>
      <c r="F146" s="88">
        <v>0</v>
      </c>
      <c r="G146" s="484">
        <v>0</v>
      </c>
      <c r="H146" s="88">
        <v>1300</v>
      </c>
      <c r="I146" s="88">
        <v>0</v>
      </c>
      <c r="J146" s="81"/>
      <c r="K146" s="81"/>
    </row>
    <row r="147" spans="1:11" ht="12.75" customHeight="1">
      <c r="A147" s="86"/>
      <c r="B147" s="87" t="s">
        <v>1258</v>
      </c>
      <c r="C147" s="88">
        <v>0</v>
      </c>
      <c r="D147" s="88">
        <v>0</v>
      </c>
      <c r="E147" s="88">
        <v>0</v>
      </c>
      <c r="F147" s="88">
        <v>0</v>
      </c>
      <c r="G147" s="484">
        <v>0</v>
      </c>
      <c r="H147" s="88">
        <v>0</v>
      </c>
      <c r="I147" s="88">
        <v>0</v>
      </c>
      <c r="J147" s="81"/>
      <c r="K147" s="81"/>
    </row>
    <row r="148" spans="1:11" ht="12.75" customHeight="1">
      <c r="A148" s="84" t="s">
        <v>262</v>
      </c>
      <c r="B148" s="85" t="s">
        <v>1259</v>
      </c>
      <c r="C148" s="85">
        <v>228513</v>
      </c>
      <c r="D148" s="85">
        <v>433929</v>
      </c>
      <c r="E148" s="85">
        <v>231689</v>
      </c>
      <c r="F148" s="85">
        <v>399383</v>
      </c>
      <c r="G148" s="485">
        <v>279323</v>
      </c>
      <c r="H148" s="85">
        <v>216735</v>
      </c>
      <c r="I148" s="85">
        <v>419873</v>
      </c>
      <c r="J148" s="81"/>
      <c r="K148" s="81"/>
    </row>
    <row r="149" spans="1:11" ht="12" customHeight="1">
      <c r="A149" s="91"/>
      <c r="B149" s="93" t="s">
        <v>1260</v>
      </c>
      <c r="C149" s="93">
        <f aca="true" t="shared" si="8" ref="C149:I149">SUM(C148,C145,C140,C139,C138)</f>
        <v>229602</v>
      </c>
      <c r="D149" s="93">
        <f t="shared" si="8"/>
        <v>466926</v>
      </c>
      <c r="E149" s="93">
        <f t="shared" si="8"/>
        <v>233794</v>
      </c>
      <c r="F149" s="93">
        <f t="shared" si="8"/>
        <v>408105</v>
      </c>
      <c r="G149" s="93">
        <f t="shared" si="8"/>
        <v>280098</v>
      </c>
      <c r="H149" s="93">
        <f t="shared" si="8"/>
        <v>221669</v>
      </c>
      <c r="I149" s="93">
        <f t="shared" si="8"/>
        <v>426433</v>
      </c>
      <c r="J149" s="81"/>
      <c r="K149" s="81"/>
    </row>
    <row r="150" spans="1:11" ht="12.75" customHeight="1">
      <c r="A150" s="84"/>
      <c r="B150" s="85" t="s">
        <v>1261</v>
      </c>
      <c r="C150" s="88"/>
      <c r="D150" s="88"/>
      <c r="E150" s="88"/>
      <c r="F150" s="88"/>
      <c r="G150" s="486"/>
      <c r="H150" s="88"/>
      <c r="I150" s="88"/>
      <c r="J150" s="81"/>
      <c r="K150" s="81"/>
    </row>
    <row r="151" spans="1:11" ht="12.75" customHeight="1">
      <c r="A151" s="84" t="s">
        <v>950</v>
      </c>
      <c r="B151" s="85" t="s">
        <v>89</v>
      </c>
      <c r="C151" s="85">
        <v>160770</v>
      </c>
      <c r="D151" s="85">
        <v>293251</v>
      </c>
      <c r="E151" s="85">
        <v>161822</v>
      </c>
      <c r="F151" s="85">
        <v>275449</v>
      </c>
      <c r="G151" s="479">
        <v>193351</v>
      </c>
      <c r="H151" s="85">
        <v>155673</v>
      </c>
      <c r="I151" s="85">
        <v>241485</v>
      </c>
      <c r="J151" s="81"/>
      <c r="K151" s="81"/>
    </row>
    <row r="152" spans="1:11" ht="12.75" customHeight="1">
      <c r="A152" s="84" t="s">
        <v>951</v>
      </c>
      <c r="B152" s="85" t="s">
        <v>892</v>
      </c>
      <c r="C152" s="85">
        <v>46323</v>
      </c>
      <c r="D152" s="85">
        <v>84549</v>
      </c>
      <c r="E152" s="85">
        <v>46650</v>
      </c>
      <c r="F152" s="85">
        <v>79416</v>
      </c>
      <c r="G152" s="479">
        <v>55711</v>
      </c>
      <c r="H152" s="85">
        <v>44845</v>
      </c>
      <c r="I152" s="85">
        <v>69689</v>
      </c>
      <c r="J152" s="81"/>
      <c r="K152" s="81"/>
    </row>
    <row r="153" spans="1:11" ht="12.75" customHeight="1">
      <c r="A153" s="84" t="s">
        <v>198</v>
      </c>
      <c r="B153" s="85" t="s">
        <v>893</v>
      </c>
      <c r="C153" s="85">
        <v>4792</v>
      </c>
      <c r="D153" s="85">
        <v>8747</v>
      </c>
      <c r="E153" s="85">
        <v>4827</v>
      </c>
      <c r="F153" s="85">
        <v>8216</v>
      </c>
      <c r="G153" s="479">
        <v>5763</v>
      </c>
      <c r="H153" s="85">
        <v>4640</v>
      </c>
      <c r="I153" s="85">
        <v>7209</v>
      </c>
      <c r="J153" s="81"/>
      <c r="K153" s="81"/>
    </row>
    <row r="154" spans="1:11" ht="12.75" customHeight="1">
      <c r="A154" s="84" t="s">
        <v>259</v>
      </c>
      <c r="B154" s="85" t="s">
        <v>1083</v>
      </c>
      <c r="C154" s="85">
        <v>1631</v>
      </c>
      <c r="D154" s="85">
        <v>3122</v>
      </c>
      <c r="E154" s="85">
        <v>1550</v>
      </c>
      <c r="F154" s="85">
        <v>2888</v>
      </c>
      <c r="G154" s="479">
        <v>2080</v>
      </c>
      <c r="H154" s="85">
        <v>1685</v>
      </c>
      <c r="I154" s="85">
        <v>2592</v>
      </c>
      <c r="J154" s="81"/>
      <c r="K154" s="81"/>
    </row>
    <row r="155" spans="1:11" ht="12.75" customHeight="1">
      <c r="A155" s="84" t="s">
        <v>262</v>
      </c>
      <c r="B155" s="85" t="s">
        <v>1346</v>
      </c>
      <c r="C155" s="85"/>
      <c r="D155" s="85"/>
      <c r="E155" s="85"/>
      <c r="F155" s="85"/>
      <c r="G155" s="479"/>
      <c r="H155" s="85"/>
      <c r="I155" s="85"/>
      <c r="J155" s="81"/>
      <c r="K155" s="81"/>
    </row>
    <row r="156" spans="1:11" ht="12.75" customHeight="1">
      <c r="A156" s="84" t="s">
        <v>264</v>
      </c>
      <c r="B156" s="85" t="s">
        <v>93</v>
      </c>
      <c r="C156" s="85">
        <v>16086</v>
      </c>
      <c r="D156" s="85">
        <v>50257</v>
      </c>
      <c r="E156" s="85">
        <v>18945</v>
      </c>
      <c r="F156" s="85">
        <v>41736</v>
      </c>
      <c r="G156" s="479">
        <v>23193</v>
      </c>
      <c r="H156" s="85">
        <v>13526</v>
      </c>
      <c r="I156" s="85">
        <v>96458</v>
      </c>
      <c r="J156" s="81"/>
      <c r="K156" s="81"/>
    </row>
    <row r="157" spans="1:11" ht="12" customHeight="1">
      <c r="A157" s="84"/>
      <c r="B157" s="88" t="s">
        <v>1262</v>
      </c>
      <c r="C157" s="88">
        <v>6823</v>
      </c>
      <c r="D157" s="88">
        <v>20940</v>
      </c>
      <c r="E157" s="88">
        <v>6612</v>
      </c>
      <c r="F157" s="88">
        <v>17511</v>
      </c>
      <c r="G157" s="478">
        <v>2245</v>
      </c>
      <c r="H157" s="88">
        <v>2801</v>
      </c>
      <c r="I157" s="88">
        <v>18707</v>
      </c>
      <c r="J157" s="81"/>
      <c r="K157" s="81"/>
    </row>
    <row r="158" spans="1:11" ht="12" customHeight="1">
      <c r="A158" s="84"/>
      <c r="B158" s="88" t="s">
        <v>1263</v>
      </c>
      <c r="C158" s="88">
        <v>2197</v>
      </c>
      <c r="D158" s="88">
        <v>6127</v>
      </c>
      <c r="E158" s="88">
        <v>3120</v>
      </c>
      <c r="F158" s="88">
        <v>7991</v>
      </c>
      <c r="G158" s="478">
        <v>4309</v>
      </c>
      <c r="H158" s="88">
        <v>2246</v>
      </c>
      <c r="I158" s="88">
        <v>9342</v>
      </c>
      <c r="J158" s="81"/>
      <c r="K158" s="81"/>
    </row>
    <row r="159" spans="1:11" ht="12" customHeight="1">
      <c r="A159" s="84"/>
      <c r="B159" s="88" t="s">
        <v>1264</v>
      </c>
      <c r="C159" s="88">
        <v>0</v>
      </c>
      <c r="D159" s="88">
        <v>0</v>
      </c>
      <c r="E159" s="88">
        <v>0</v>
      </c>
      <c r="F159" s="88">
        <v>0</v>
      </c>
      <c r="G159" s="478">
        <v>8008</v>
      </c>
      <c r="H159" s="88">
        <v>0</v>
      </c>
      <c r="I159" s="88">
        <v>14263</v>
      </c>
      <c r="J159" s="81"/>
      <c r="K159" s="81"/>
    </row>
    <row r="160" spans="1:11" ht="12" customHeight="1">
      <c r="A160" s="84"/>
      <c r="B160" s="88" t="s">
        <v>1265</v>
      </c>
      <c r="C160" s="88">
        <v>340</v>
      </c>
      <c r="D160" s="88">
        <v>4620</v>
      </c>
      <c r="E160" s="88">
        <v>2000</v>
      </c>
      <c r="F160" s="88">
        <v>1500</v>
      </c>
      <c r="G160" s="478">
        <v>500</v>
      </c>
      <c r="H160" s="88">
        <v>590</v>
      </c>
      <c r="I160" s="88">
        <v>9250</v>
      </c>
      <c r="J160" s="81"/>
      <c r="K160" s="81"/>
    </row>
    <row r="161" spans="1:11" ht="12" customHeight="1">
      <c r="A161" s="84"/>
      <c r="B161" s="88" t="s">
        <v>1266</v>
      </c>
      <c r="C161" s="88">
        <v>0</v>
      </c>
      <c r="D161" s="88">
        <v>0</v>
      </c>
      <c r="E161" s="88">
        <v>0</v>
      </c>
      <c r="F161" s="88">
        <v>0</v>
      </c>
      <c r="G161" s="478">
        <v>0</v>
      </c>
      <c r="H161" s="88">
        <v>0</v>
      </c>
      <c r="I161" s="88">
        <v>0</v>
      </c>
      <c r="J161" s="81"/>
      <c r="K161" s="81"/>
    </row>
    <row r="162" spans="1:11" ht="12" customHeight="1">
      <c r="A162" s="84"/>
      <c r="B162" s="88" t="s">
        <v>1267</v>
      </c>
      <c r="C162" s="88">
        <v>1900</v>
      </c>
      <c r="D162" s="88">
        <v>4150</v>
      </c>
      <c r="E162" s="88">
        <v>1964</v>
      </c>
      <c r="F162" s="88">
        <v>4017</v>
      </c>
      <c r="G162" s="478">
        <v>2165</v>
      </c>
      <c r="H162" s="88">
        <v>3110</v>
      </c>
      <c r="I162" s="88">
        <v>0</v>
      </c>
      <c r="J162" s="81"/>
      <c r="K162" s="81"/>
    </row>
    <row r="163" spans="1:11" ht="12" customHeight="1">
      <c r="A163" s="84"/>
      <c r="B163" s="88" t="s">
        <v>1268</v>
      </c>
      <c r="C163" s="88">
        <v>1500</v>
      </c>
      <c r="D163" s="88">
        <v>4000</v>
      </c>
      <c r="E163" s="88">
        <v>1500</v>
      </c>
      <c r="F163" s="88">
        <v>3000</v>
      </c>
      <c r="G163" s="478">
        <v>1500</v>
      </c>
      <c r="H163" s="88">
        <v>1500</v>
      </c>
      <c r="I163" s="88">
        <v>3000</v>
      </c>
      <c r="J163" s="81"/>
      <c r="K163" s="81"/>
    </row>
    <row r="164" spans="1:11" ht="12" customHeight="1">
      <c r="A164" s="84"/>
      <c r="B164" s="88" t="s">
        <v>1269</v>
      </c>
      <c r="C164" s="88">
        <v>2444</v>
      </c>
      <c r="D164" s="88">
        <v>7858</v>
      </c>
      <c r="E164" s="88">
        <v>2912</v>
      </c>
      <c r="F164" s="88">
        <v>6453</v>
      </c>
      <c r="G164" s="478">
        <v>3594</v>
      </c>
      <c r="H164" s="88">
        <v>1728</v>
      </c>
      <c r="I164" s="88">
        <v>13422</v>
      </c>
      <c r="J164" s="81"/>
      <c r="K164" s="81"/>
    </row>
    <row r="165" spans="1:11" ht="12.75" customHeight="1">
      <c r="A165" s="84" t="s">
        <v>265</v>
      </c>
      <c r="B165" s="85" t="s">
        <v>96</v>
      </c>
      <c r="C165" s="85">
        <v>0</v>
      </c>
      <c r="D165" s="85">
        <v>0</v>
      </c>
      <c r="E165" s="85">
        <v>0</v>
      </c>
      <c r="F165" s="85">
        <v>0</v>
      </c>
      <c r="G165" s="479">
        <v>0</v>
      </c>
      <c r="H165" s="85">
        <v>0</v>
      </c>
      <c r="I165" s="85">
        <v>0</v>
      </c>
      <c r="J165" s="81"/>
      <c r="K165" s="81"/>
    </row>
    <row r="166" spans="1:11" ht="12.75" customHeight="1">
      <c r="A166" s="84" t="s">
        <v>1347</v>
      </c>
      <c r="B166" s="85" t="s">
        <v>1348</v>
      </c>
      <c r="C166" s="85">
        <v>0</v>
      </c>
      <c r="D166" s="85">
        <v>1000</v>
      </c>
      <c r="E166" s="85">
        <v>0</v>
      </c>
      <c r="F166" s="85">
        <v>400</v>
      </c>
      <c r="G166" s="479">
        <v>0</v>
      </c>
      <c r="H166" s="85">
        <v>0</v>
      </c>
      <c r="I166" s="85">
        <v>6500</v>
      </c>
      <c r="J166" s="81"/>
      <c r="K166" s="81"/>
    </row>
    <row r="167" spans="1:11" ht="12.75" customHeight="1">
      <c r="A167" s="84" t="s">
        <v>1349</v>
      </c>
      <c r="B167" s="85" t="s">
        <v>161</v>
      </c>
      <c r="C167" s="85">
        <v>0</v>
      </c>
      <c r="D167" s="85">
        <v>26000</v>
      </c>
      <c r="E167" s="85">
        <v>0</v>
      </c>
      <c r="F167" s="85">
        <v>0</v>
      </c>
      <c r="G167" s="487">
        <v>0</v>
      </c>
      <c r="H167" s="85">
        <v>1300</v>
      </c>
      <c r="I167" s="85">
        <v>2500</v>
      </c>
      <c r="J167" s="81"/>
      <c r="K167" s="81"/>
    </row>
    <row r="168" spans="1:11" ht="10.5" customHeight="1">
      <c r="A168" s="92"/>
      <c r="B168" s="93" t="s">
        <v>1270</v>
      </c>
      <c r="C168" s="93">
        <f aca="true" t="shared" si="9" ref="C168:I168">SUM(C151,C152:C155,C156,C165:C167)</f>
        <v>229602</v>
      </c>
      <c r="D168" s="93">
        <f t="shared" si="9"/>
        <v>466926</v>
      </c>
      <c r="E168" s="93">
        <f t="shared" si="9"/>
        <v>233794</v>
      </c>
      <c r="F168" s="93">
        <f t="shared" si="9"/>
        <v>408105</v>
      </c>
      <c r="G168" s="93">
        <f t="shared" si="9"/>
        <v>280098</v>
      </c>
      <c r="H168" s="93">
        <f t="shared" si="9"/>
        <v>221669</v>
      </c>
      <c r="I168" s="93">
        <f t="shared" si="9"/>
        <v>426433</v>
      </c>
      <c r="J168" s="81"/>
      <c r="K168" s="81"/>
    </row>
    <row r="169" spans="1:11" s="46" customFormat="1" ht="12.75" customHeight="1">
      <c r="A169" s="94"/>
      <c r="B169" s="95" t="s">
        <v>231</v>
      </c>
      <c r="C169" s="250">
        <v>69.7</v>
      </c>
      <c r="D169" s="250">
        <v>133.4</v>
      </c>
      <c r="E169" s="250">
        <v>63.7</v>
      </c>
      <c r="F169" s="250">
        <v>123.4</v>
      </c>
      <c r="G169" s="1265">
        <v>88.9</v>
      </c>
      <c r="H169" s="250">
        <v>72</v>
      </c>
      <c r="I169" s="250">
        <v>110.75</v>
      </c>
      <c r="J169" s="81"/>
      <c r="K169" s="81"/>
    </row>
    <row r="170" spans="1:11" s="46" customFormat="1" ht="12.75" customHeight="1">
      <c r="A170" s="94"/>
      <c r="B170" s="95" t="s">
        <v>232</v>
      </c>
      <c r="C170" s="250">
        <v>52.7</v>
      </c>
      <c r="D170" s="250">
        <v>98.9</v>
      </c>
      <c r="E170" s="250">
        <v>47.2</v>
      </c>
      <c r="F170" s="250">
        <v>90.9</v>
      </c>
      <c r="G170" s="1266">
        <v>67.4</v>
      </c>
      <c r="H170" s="250">
        <v>52.5</v>
      </c>
      <c r="I170" s="250">
        <v>61.25</v>
      </c>
      <c r="J170" s="81"/>
      <c r="K170" s="81"/>
    </row>
    <row r="171" spans="1:11" ht="12.75" customHeight="1">
      <c r="A171" s="94"/>
      <c r="B171" s="95"/>
      <c r="C171" s="95"/>
      <c r="D171" s="95"/>
      <c r="E171" s="95"/>
      <c r="F171" s="95"/>
      <c r="G171" s="95"/>
      <c r="H171" s="95"/>
      <c r="I171" s="95"/>
      <c r="J171" s="81"/>
      <c r="K171" s="81"/>
    </row>
    <row r="172" spans="1:11" ht="12.75" customHeight="1">
      <c r="A172" s="96"/>
      <c r="B172" s="97"/>
      <c r="C172" s="103"/>
      <c r="D172" s="103"/>
      <c r="E172" s="103"/>
      <c r="F172" s="103"/>
      <c r="G172" s="203"/>
      <c r="H172" s="1552" t="s">
        <v>384</v>
      </c>
      <c r="I172" s="1552"/>
      <c r="J172" s="81"/>
      <c r="K172" s="81"/>
    </row>
    <row r="173" spans="1:11" ht="12.75" customHeight="1">
      <c r="A173" s="1545" t="s">
        <v>172</v>
      </c>
      <c r="B173" s="1546"/>
      <c r="C173" s="1071" t="s">
        <v>1344</v>
      </c>
      <c r="D173" s="1561" t="s">
        <v>1</v>
      </c>
      <c r="E173" s="1561" t="s">
        <v>1049</v>
      </c>
      <c r="F173" s="1562" t="s">
        <v>4</v>
      </c>
      <c r="G173" s="1562" t="s">
        <v>3</v>
      </c>
      <c r="H173" s="1561" t="s">
        <v>1420</v>
      </c>
      <c r="I173" s="1071" t="s">
        <v>1344</v>
      </c>
      <c r="J173" s="81"/>
      <c r="K173" s="81"/>
    </row>
    <row r="174" spans="1:11" ht="46.5" customHeight="1">
      <c r="A174" s="1547"/>
      <c r="B174" s="1548"/>
      <c r="C174" s="1070" t="s">
        <v>1304</v>
      </c>
      <c r="D174" s="1561"/>
      <c r="E174" s="1561"/>
      <c r="F174" s="1562"/>
      <c r="G174" s="1562"/>
      <c r="H174" s="1561"/>
      <c r="I174" s="476" t="s">
        <v>5</v>
      </c>
      <c r="J174" s="81"/>
      <c r="K174" s="81"/>
    </row>
    <row r="175" spans="1:11" ht="12.75" customHeight="1">
      <c r="A175" s="84"/>
      <c r="B175" s="85" t="s">
        <v>66</v>
      </c>
      <c r="C175" s="199"/>
      <c r="D175" s="199"/>
      <c r="E175" s="200"/>
      <c r="F175" s="200"/>
      <c r="G175" s="200"/>
      <c r="H175" s="200"/>
      <c r="I175" s="199"/>
      <c r="J175" s="81"/>
      <c r="K175" s="81"/>
    </row>
    <row r="176" spans="1:11" ht="12.75" customHeight="1">
      <c r="A176" s="86"/>
      <c r="B176" s="87" t="s">
        <v>67</v>
      </c>
      <c r="C176" s="88">
        <v>0</v>
      </c>
      <c r="D176" s="88">
        <v>0</v>
      </c>
      <c r="E176" s="88"/>
      <c r="F176" s="88">
        <v>0</v>
      </c>
      <c r="G176" s="88">
        <v>0</v>
      </c>
      <c r="H176" s="88">
        <v>27834</v>
      </c>
      <c r="I176" s="88">
        <v>18000</v>
      </c>
      <c r="J176" s="81"/>
      <c r="K176" s="81"/>
    </row>
    <row r="177" spans="1:11" ht="12.75" customHeight="1">
      <c r="A177" s="86"/>
      <c r="B177" s="87" t="s">
        <v>68</v>
      </c>
      <c r="C177" s="88">
        <v>5350</v>
      </c>
      <c r="D177" s="88">
        <v>0</v>
      </c>
      <c r="E177" s="88">
        <v>61454.19210112</v>
      </c>
      <c r="F177" s="88">
        <v>34000</v>
      </c>
      <c r="G177" s="88">
        <v>111700</v>
      </c>
      <c r="H177" s="88">
        <v>9305</v>
      </c>
      <c r="I177" s="88">
        <v>200</v>
      </c>
      <c r="J177" s="81"/>
      <c r="K177" s="81"/>
    </row>
    <row r="178" spans="1:11" ht="12.75" customHeight="1">
      <c r="A178" s="86"/>
      <c r="B178" s="87" t="s">
        <v>69</v>
      </c>
      <c r="C178" s="88">
        <v>0</v>
      </c>
      <c r="D178" s="88">
        <v>0</v>
      </c>
      <c r="E178" s="88">
        <v>10497.6</v>
      </c>
      <c r="F178" s="88">
        <v>0</v>
      </c>
      <c r="G178" s="88">
        <v>80209</v>
      </c>
      <c r="H178" s="88">
        <v>1249</v>
      </c>
      <c r="I178" s="88"/>
      <c r="J178" s="81"/>
      <c r="K178" s="81"/>
    </row>
    <row r="179" spans="1:11" ht="12.75" customHeight="1">
      <c r="A179" s="86"/>
      <c r="B179" s="87" t="s">
        <v>1250</v>
      </c>
      <c r="C179" s="88">
        <v>0</v>
      </c>
      <c r="D179" s="88">
        <v>0</v>
      </c>
      <c r="E179" s="88">
        <v>0</v>
      </c>
      <c r="F179" s="88">
        <v>0</v>
      </c>
      <c r="G179" s="88">
        <v>0</v>
      </c>
      <c r="H179" s="88">
        <v>0</v>
      </c>
      <c r="I179" s="88"/>
      <c r="J179" s="81"/>
      <c r="K179" s="81"/>
    </row>
    <row r="180" spans="1:11" ht="12.75" customHeight="1">
      <c r="A180" s="86" t="s">
        <v>950</v>
      </c>
      <c r="B180" s="89" t="s">
        <v>1251</v>
      </c>
      <c r="C180" s="85">
        <v>5350</v>
      </c>
      <c r="D180" s="85">
        <v>0</v>
      </c>
      <c r="E180" s="85">
        <v>71951.79210112</v>
      </c>
      <c r="F180" s="85">
        <v>34000</v>
      </c>
      <c r="G180" s="85">
        <v>191909</v>
      </c>
      <c r="H180" s="85">
        <v>38388</v>
      </c>
      <c r="I180" s="85">
        <f>SUM(I176:I179)</f>
        <v>18200</v>
      </c>
      <c r="J180" s="81"/>
      <c r="K180" s="81"/>
    </row>
    <row r="181" spans="1:11" ht="12.75" customHeight="1">
      <c r="A181" s="86" t="s">
        <v>951</v>
      </c>
      <c r="B181" s="89" t="s">
        <v>134</v>
      </c>
      <c r="C181" s="85">
        <v>0</v>
      </c>
      <c r="D181" s="85">
        <v>0</v>
      </c>
      <c r="E181" s="85">
        <v>0</v>
      </c>
      <c r="F181" s="85">
        <v>0</v>
      </c>
      <c r="G181" s="85">
        <v>0</v>
      </c>
      <c r="H181" s="100">
        <v>1500</v>
      </c>
      <c r="I181" s="85"/>
      <c r="J181" s="81"/>
      <c r="K181" s="81"/>
    </row>
    <row r="182" spans="1:11" ht="12.75" customHeight="1">
      <c r="A182" s="86" t="s">
        <v>198</v>
      </c>
      <c r="B182" s="89" t="s">
        <v>1253</v>
      </c>
      <c r="C182" s="201">
        <v>1385</v>
      </c>
      <c r="D182" s="201">
        <v>0</v>
      </c>
      <c r="E182" s="201">
        <v>202404</v>
      </c>
      <c r="F182" s="201">
        <v>0</v>
      </c>
      <c r="G182" s="201">
        <v>0</v>
      </c>
      <c r="H182" s="201">
        <v>324</v>
      </c>
      <c r="I182" s="201"/>
      <c r="J182" s="81"/>
      <c r="K182" s="81"/>
    </row>
    <row r="183" spans="1:11" ht="12.75" customHeight="1">
      <c r="A183" s="86"/>
      <c r="B183" s="87" t="s">
        <v>1254</v>
      </c>
      <c r="C183" s="90">
        <v>1385</v>
      </c>
      <c r="D183" s="90">
        <v>0</v>
      </c>
      <c r="E183" s="88">
        <v>202404</v>
      </c>
      <c r="F183" s="90">
        <v>0</v>
      </c>
      <c r="G183" s="90">
        <v>0</v>
      </c>
      <c r="H183" s="101">
        <v>324</v>
      </c>
      <c r="I183" s="90"/>
      <c r="J183" s="81"/>
      <c r="K183" s="81"/>
    </row>
    <row r="184" spans="1:11" ht="12.75" customHeight="1">
      <c r="A184" s="86"/>
      <c r="B184" s="87" t="s">
        <v>1255</v>
      </c>
      <c r="C184" s="90"/>
      <c r="D184" s="90"/>
      <c r="E184" s="88">
        <v>202404</v>
      </c>
      <c r="F184" s="90"/>
      <c r="G184" s="90"/>
      <c r="H184" s="101"/>
      <c r="I184" s="88"/>
      <c r="J184" s="81"/>
      <c r="K184" s="81"/>
    </row>
    <row r="185" spans="1:11" ht="12.75" customHeight="1">
      <c r="A185" s="86"/>
      <c r="B185" s="87" t="s">
        <v>1256</v>
      </c>
      <c r="C185" s="90">
        <v>0</v>
      </c>
      <c r="D185" s="90">
        <v>0</v>
      </c>
      <c r="E185" s="90">
        <v>0</v>
      </c>
      <c r="F185" s="90">
        <v>0</v>
      </c>
      <c r="G185" s="90">
        <v>0</v>
      </c>
      <c r="H185" s="101">
        <v>0</v>
      </c>
      <c r="I185" s="90"/>
      <c r="J185" s="81"/>
      <c r="K185" s="81"/>
    </row>
    <row r="186" spans="1:11" ht="12.75" customHeight="1">
      <c r="A186" s="86"/>
      <c r="B186" s="87" t="s">
        <v>1255</v>
      </c>
      <c r="C186" s="88"/>
      <c r="D186" s="88"/>
      <c r="E186" s="88">
        <v>0</v>
      </c>
      <c r="F186" s="88"/>
      <c r="G186" s="88"/>
      <c r="H186" s="102"/>
      <c r="I186" s="88"/>
      <c r="J186" s="81"/>
      <c r="K186" s="81"/>
    </row>
    <row r="187" spans="1:11" ht="12.75" customHeight="1">
      <c r="A187" s="86" t="s">
        <v>259</v>
      </c>
      <c r="B187" s="89" t="s">
        <v>260</v>
      </c>
      <c r="C187" s="85">
        <v>0</v>
      </c>
      <c r="D187" s="85">
        <v>0</v>
      </c>
      <c r="E187" s="85">
        <v>3000</v>
      </c>
      <c r="F187" s="85">
        <v>0</v>
      </c>
      <c r="G187" s="85">
        <v>0</v>
      </c>
      <c r="H187" s="85">
        <v>0</v>
      </c>
      <c r="I187" s="85"/>
      <c r="J187" s="81"/>
      <c r="K187" s="81"/>
    </row>
    <row r="188" spans="1:11" ht="12.75" customHeight="1">
      <c r="A188" s="86"/>
      <c r="B188" s="87" t="s">
        <v>1257</v>
      </c>
      <c r="C188" s="88">
        <v>0</v>
      </c>
      <c r="D188" s="88">
        <v>0</v>
      </c>
      <c r="E188" s="88">
        <v>0</v>
      </c>
      <c r="F188" s="88">
        <v>0</v>
      </c>
      <c r="G188" s="88">
        <v>0</v>
      </c>
      <c r="H188" s="88">
        <v>0</v>
      </c>
      <c r="I188" s="88"/>
      <c r="J188" s="81"/>
      <c r="K188" s="81"/>
    </row>
    <row r="189" spans="1:11" ht="12.75" customHeight="1">
      <c r="A189" s="86"/>
      <c r="B189" s="87" t="s">
        <v>1258</v>
      </c>
      <c r="C189" s="88">
        <v>0</v>
      </c>
      <c r="D189" s="88">
        <v>0</v>
      </c>
      <c r="E189" s="88">
        <v>3000</v>
      </c>
      <c r="F189" s="88">
        <v>0</v>
      </c>
      <c r="G189" s="88">
        <v>0</v>
      </c>
      <c r="H189" s="88">
        <v>0</v>
      </c>
      <c r="I189" s="88"/>
      <c r="J189" s="81"/>
      <c r="K189" s="81"/>
    </row>
    <row r="190" spans="1:11" ht="12.75" customHeight="1">
      <c r="A190" s="84" t="s">
        <v>262</v>
      </c>
      <c r="B190" s="85" t="s">
        <v>1259</v>
      </c>
      <c r="C190" s="85">
        <v>111642</v>
      </c>
      <c r="D190" s="85">
        <v>109355</v>
      </c>
      <c r="E190" s="85">
        <f>482518+48909</f>
        <v>531427</v>
      </c>
      <c r="F190" s="85">
        <v>83325</v>
      </c>
      <c r="G190" s="85">
        <v>571907</v>
      </c>
      <c r="H190" s="85">
        <v>583538</v>
      </c>
      <c r="I190" s="85">
        <v>79546</v>
      </c>
      <c r="J190" s="81"/>
      <c r="K190" s="81"/>
    </row>
    <row r="191" spans="1:11" ht="12" customHeight="1">
      <c r="A191" s="91"/>
      <c r="B191" s="93" t="s">
        <v>1260</v>
      </c>
      <c r="C191" s="93">
        <f aca="true" t="shared" si="10" ref="C191:I191">SUM(C190,C187,C182,C181,C180)</f>
        <v>118377</v>
      </c>
      <c r="D191" s="93">
        <f t="shared" si="10"/>
        <v>109355</v>
      </c>
      <c r="E191" s="93">
        <f t="shared" si="10"/>
        <v>808782.79210112</v>
      </c>
      <c r="F191" s="93">
        <f t="shared" si="10"/>
        <v>117325</v>
      </c>
      <c r="G191" s="93">
        <f t="shared" si="10"/>
        <v>763816</v>
      </c>
      <c r="H191" s="93">
        <f t="shared" si="10"/>
        <v>623750</v>
      </c>
      <c r="I191" s="93">
        <f t="shared" si="10"/>
        <v>97746</v>
      </c>
      <c r="J191" s="81"/>
      <c r="K191" s="81"/>
    </row>
    <row r="192" spans="1:11" ht="12.75" customHeight="1">
      <c r="A192" s="84"/>
      <c r="B192" s="85" t="s">
        <v>1261</v>
      </c>
      <c r="C192" s="88"/>
      <c r="D192" s="88"/>
      <c r="E192" s="88">
        <v>0</v>
      </c>
      <c r="F192" s="88"/>
      <c r="G192" s="88"/>
      <c r="H192" s="88"/>
      <c r="I192" s="88"/>
      <c r="J192" s="81"/>
      <c r="K192" s="81"/>
    </row>
    <row r="193" spans="1:11" ht="12.75" customHeight="1">
      <c r="A193" s="84" t="s">
        <v>950</v>
      </c>
      <c r="B193" s="85" t="s">
        <v>89</v>
      </c>
      <c r="C193" s="85">
        <v>68861</v>
      </c>
      <c r="D193" s="85">
        <v>78541</v>
      </c>
      <c r="E193" s="85">
        <f>300528+148268</f>
        <v>448796</v>
      </c>
      <c r="F193" s="85">
        <v>68095</v>
      </c>
      <c r="G193" s="85">
        <v>196017</v>
      </c>
      <c r="H193" s="85">
        <v>216802</v>
      </c>
      <c r="I193" s="85">
        <v>57852</v>
      </c>
      <c r="J193" s="81"/>
      <c r="K193" s="81"/>
    </row>
    <row r="194" spans="1:11" ht="12.75" customHeight="1">
      <c r="A194" s="84" t="s">
        <v>951</v>
      </c>
      <c r="B194" s="85" t="s">
        <v>892</v>
      </c>
      <c r="C194" s="85">
        <v>19878</v>
      </c>
      <c r="D194" s="85">
        <v>22585</v>
      </c>
      <c r="E194" s="85">
        <f>42998+87061</f>
        <v>130059</v>
      </c>
      <c r="F194" s="85">
        <v>19656</v>
      </c>
      <c r="G194" s="85">
        <v>50222</v>
      </c>
      <c r="H194" s="85">
        <v>54351</v>
      </c>
      <c r="I194" s="85">
        <v>15348</v>
      </c>
      <c r="J194" s="81"/>
      <c r="K194" s="81"/>
    </row>
    <row r="195" spans="1:11" ht="12.75" customHeight="1">
      <c r="A195" s="84" t="s">
        <v>198</v>
      </c>
      <c r="B195" s="85" t="s">
        <v>893</v>
      </c>
      <c r="C195" s="85">
        <v>2056</v>
      </c>
      <c r="D195" s="85">
        <v>2336</v>
      </c>
      <c r="E195" s="85">
        <f>9006+4448</f>
        <v>13454</v>
      </c>
      <c r="F195" s="85">
        <v>2033</v>
      </c>
      <c r="G195" s="85">
        <v>4009</v>
      </c>
      <c r="H195" s="85">
        <v>3874</v>
      </c>
      <c r="I195" s="85">
        <v>1588</v>
      </c>
      <c r="J195" s="81"/>
      <c r="K195" s="81"/>
    </row>
    <row r="196" spans="1:11" ht="12.75" customHeight="1">
      <c r="A196" s="84" t="s">
        <v>259</v>
      </c>
      <c r="B196" s="85" t="s">
        <v>1083</v>
      </c>
      <c r="C196" s="85">
        <v>819</v>
      </c>
      <c r="D196" s="85">
        <v>714</v>
      </c>
      <c r="E196" s="85">
        <f>4657+1860</f>
        <v>6517</v>
      </c>
      <c r="F196" s="85">
        <v>913</v>
      </c>
      <c r="G196" s="85">
        <v>2044</v>
      </c>
      <c r="H196" s="85">
        <v>1498</v>
      </c>
      <c r="I196" s="85">
        <v>398</v>
      </c>
      <c r="J196" s="81"/>
      <c r="K196" s="81"/>
    </row>
    <row r="197" spans="1:11" ht="12.75" customHeight="1">
      <c r="A197" s="84" t="s">
        <v>262</v>
      </c>
      <c r="B197" s="85" t="s">
        <v>1346</v>
      </c>
      <c r="C197" s="85"/>
      <c r="D197" s="85"/>
      <c r="E197" s="85">
        <v>0</v>
      </c>
      <c r="F197" s="85"/>
      <c r="G197" s="85"/>
      <c r="H197" s="85"/>
      <c r="I197" s="85"/>
      <c r="J197" s="81"/>
      <c r="K197" s="81"/>
    </row>
    <row r="198" spans="1:11" ht="12.75" customHeight="1">
      <c r="A198" s="84" t="s">
        <v>264</v>
      </c>
      <c r="B198" s="85" t="s">
        <v>93</v>
      </c>
      <c r="C198" s="85">
        <v>26763</v>
      </c>
      <c r="D198" s="85">
        <v>5179</v>
      </c>
      <c r="E198" s="85">
        <f>120320+89637</f>
        <v>209957</v>
      </c>
      <c r="F198" s="85">
        <v>26628</v>
      </c>
      <c r="G198" s="85">
        <v>511524</v>
      </c>
      <c r="H198" s="85">
        <v>337225</v>
      </c>
      <c r="I198" s="85">
        <v>22560</v>
      </c>
      <c r="J198" s="81"/>
      <c r="K198" s="81"/>
    </row>
    <row r="199" spans="1:11" ht="12" customHeight="1">
      <c r="A199" s="84"/>
      <c r="B199" s="88" t="s">
        <v>1262</v>
      </c>
      <c r="C199" s="88">
        <v>1768</v>
      </c>
      <c r="D199" s="88">
        <v>840</v>
      </c>
      <c r="E199" s="88">
        <f>2241+12937</f>
        <v>15178</v>
      </c>
      <c r="F199" s="88">
        <v>5952</v>
      </c>
      <c r="G199" s="88">
        <v>17752</v>
      </c>
      <c r="H199" s="88">
        <v>1318</v>
      </c>
      <c r="I199" s="88"/>
      <c r="J199" s="81"/>
      <c r="K199" s="81"/>
    </row>
    <row r="200" spans="1:11" ht="12" customHeight="1">
      <c r="A200" s="84"/>
      <c r="B200" s="88" t="s">
        <v>1263</v>
      </c>
      <c r="C200" s="88">
        <v>1200</v>
      </c>
      <c r="D200" s="88">
        <v>415</v>
      </c>
      <c r="E200" s="88">
        <f>1877+5519</f>
        <v>7396</v>
      </c>
      <c r="F200" s="88">
        <v>1668</v>
      </c>
      <c r="G200" s="88">
        <v>15162</v>
      </c>
      <c r="H200" s="88">
        <v>18083</v>
      </c>
      <c r="I200" s="88">
        <v>400</v>
      </c>
      <c r="J200" s="81"/>
      <c r="K200" s="81"/>
    </row>
    <row r="201" spans="1:11" ht="12" customHeight="1">
      <c r="A201" s="84"/>
      <c r="B201" s="88" t="s">
        <v>1264</v>
      </c>
      <c r="C201" s="88">
        <v>0</v>
      </c>
      <c r="D201" s="88">
        <v>0</v>
      </c>
      <c r="E201" s="88">
        <f>15267+1337</f>
        <v>16604</v>
      </c>
      <c r="F201" s="88">
        <v>0</v>
      </c>
      <c r="G201" s="88">
        <v>230</v>
      </c>
      <c r="H201" s="88">
        <v>17506</v>
      </c>
      <c r="I201" s="88">
        <v>410</v>
      </c>
      <c r="J201" s="81"/>
      <c r="K201" s="81"/>
    </row>
    <row r="202" spans="1:11" ht="12" customHeight="1">
      <c r="A202" s="84"/>
      <c r="B202" s="88" t="s">
        <v>1265</v>
      </c>
      <c r="C202" s="88">
        <v>180</v>
      </c>
      <c r="D202" s="88">
        <v>60</v>
      </c>
      <c r="E202" s="88">
        <f>308+2620</f>
        <v>2928</v>
      </c>
      <c r="F202" s="88">
        <v>1128</v>
      </c>
      <c r="G202" s="88">
        <v>2065</v>
      </c>
      <c r="H202" s="88">
        <v>2179</v>
      </c>
      <c r="I202" s="88"/>
      <c r="J202" s="81"/>
      <c r="K202" s="81"/>
    </row>
    <row r="203" spans="1:11" ht="12" customHeight="1">
      <c r="A203" s="84"/>
      <c r="B203" s="88" t="s">
        <v>1266</v>
      </c>
      <c r="C203" s="88">
        <v>0</v>
      </c>
      <c r="D203" s="88">
        <v>0</v>
      </c>
      <c r="E203" s="88">
        <v>31258</v>
      </c>
      <c r="F203" s="88">
        <v>11943</v>
      </c>
      <c r="G203" s="88">
        <v>0</v>
      </c>
      <c r="H203" s="88">
        <v>0</v>
      </c>
      <c r="I203" s="88"/>
      <c r="J203" s="81"/>
      <c r="K203" s="81"/>
    </row>
    <row r="204" spans="1:11" ht="12" customHeight="1">
      <c r="A204" s="84"/>
      <c r="B204" s="88" t="s">
        <v>1267</v>
      </c>
      <c r="C204" s="88">
        <v>0</v>
      </c>
      <c r="D204" s="88">
        <v>0</v>
      </c>
      <c r="E204" s="88">
        <v>0</v>
      </c>
      <c r="F204" s="88">
        <v>0</v>
      </c>
      <c r="G204" s="88">
        <v>0</v>
      </c>
      <c r="H204" s="88">
        <v>0</v>
      </c>
      <c r="I204" s="88"/>
      <c r="J204" s="81"/>
      <c r="K204" s="81"/>
    </row>
    <row r="205" spans="1:11" ht="12" customHeight="1">
      <c r="A205" s="84"/>
      <c r="B205" s="88" t="s">
        <v>1268</v>
      </c>
      <c r="C205" s="88">
        <v>3000</v>
      </c>
      <c r="D205" s="88">
        <v>3000</v>
      </c>
      <c r="E205" s="88">
        <f>16500+1000</f>
        <v>17500</v>
      </c>
      <c r="F205" s="88">
        <v>1500</v>
      </c>
      <c r="G205" s="88">
        <v>10000</v>
      </c>
      <c r="H205" s="88">
        <v>25000</v>
      </c>
      <c r="I205" s="88">
        <v>200</v>
      </c>
      <c r="J205" s="81"/>
      <c r="K205" s="81"/>
    </row>
    <row r="206" spans="1:11" ht="12" customHeight="1">
      <c r="A206" s="84"/>
      <c r="B206" s="88" t="s">
        <v>1269</v>
      </c>
      <c r="C206" s="88">
        <v>1229</v>
      </c>
      <c r="D206" s="88">
        <v>864</v>
      </c>
      <c r="E206" s="88">
        <f>16819+14439</f>
        <v>31258</v>
      </c>
      <c r="F206" s="88">
        <v>4437</v>
      </c>
      <c r="G206" s="88">
        <v>71009</v>
      </c>
      <c r="H206" s="88">
        <v>32851</v>
      </c>
      <c r="I206" s="88">
        <v>2700</v>
      </c>
      <c r="J206" s="81"/>
      <c r="K206" s="81"/>
    </row>
    <row r="207" spans="1:11" ht="12.75" customHeight="1">
      <c r="A207" s="84" t="s">
        <v>265</v>
      </c>
      <c r="B207" s="85" t="s">
        <v>96</v>
      </c>
      <c r="C207" s="85">
        <v>0</v>
      </c>
      <c r="D207" s="85">
        <v>0</v>
      </c>
      <c r="E207" s="85">
        <v>0</v>
      </c>
      <c r="F207" s="85">
        <v>0</v>
      </c>
      <c r="G207" s="85">
        <v>0</v>
      </c>
      <c r="H207" s="85">
        <v>0</v>
      </c>
      <c r="I207" s="85"/>
      <c r="J207" s="81"/>
      <c r="K207" s="81"/>
    </row>
    <row r="208" spans="1:11" ht="12.75" customHeight="1">
      <c r="A208" s="84" t="s">
        <v>1347</v>
      </c>
      <c r="B208" s="85" t="s">
        <v>1348</v>
      </c>
      <c r="C208" s="85">
        <v>0</v>
      </c>
      <c r="D208" s="85">
        <v>0</v>
      </c>
      <c r="E208" s="85">
        <v>0</v>
      </c>
      <c r="F208" s="85">
        <v>0</v>
      </c>
      <c r="G208" s="85">
        <v>0</v>
      </c>
      <c r="H208" s="85">
        <v>0</v>
      </c>
      <c r="I208" s="85"/>
      <c r="J208" s="81"/>
      <c r="K208" s="81"/>
    </row>
    <row r="209" spans="1:11" ht="12.75" customHeight="1">
      <c r="A209" s="84" t="s">
        <v>1349</v>
      </c>
      <c r="B209" s="85" t="s">
        <v>161</v>
      </c>
      <c r="C209" s="85">
        <v>0</v>
      </c>
      <c r="D209" s="85">
        <v>0</v>
      </c>
      <c r="E209" s="85">
        <v>0</v>
      </c>
      <c r="F209" s="85">
        <v>0</v>
      </c>
      <c r="G209" s="85">
        <v>0</v>
      </c>
      <c r="H209" s="85">
        <v>10000</v>
      </c>
      <c r="I209" s="85"/>
      <c r="J209" s="81"/>
      <c r="K209" s="81"/>
    </row>
    <row r="210" spans="1:11" ht="12" customHeight="1">
      <c r="A210" s="92"/>
      <c r="B210" s="93" t="s">
        <v>1270</v>
      </c>
      <c r="C210" s="93">
        <f aca="true" t="shared" si="11" ref="C210:I210">SUM(C193,C194:C197,C198,C207:C209)</f>
        <v>118377</v>
      </c>
      <c r="D210" s="93">
        <f t="shared" si="11"/>
        <v>109355</v>
      </c>
      <c r="E210" s="93">
        <f t="shared" si="11"/>
        <v>808783</v>
      </c>
      <c r="F210" s="93">
        <f t="shared" si="11"/>
        <v>117325</v>
      </c>
      <c r="G210" s="93">
        <f t="shared" si="11"/>
        <v>763816</v>
      </c>
      <c r="H210" s="93">
        <f t="shared" si="11"/>
        <v>623750</v>
      </c>
      <c r="I210" s="93">
        <f t="shared" si="11"/>
        <v>97746</v>
      </c>
      <c r="J210" s="81"/>
      <c r="K210" s="81"/>
    </row>
    <row r="211" spans="1:11" s="46" customFormat="1" ht="12.75" customHeight="1">
      <c r="A211" s="94"/>
      <c r="B211" s="95" t="s">
        <v>231</v>
      </c>
      <c r="C211" s="250">
        <v>35</v>
      </c>
      <c r="D211" s="250">
        <v>30.5</v>
      </c>
      <c r="E211" s="250">
        <v>278.5</v>
      </c>
      <c r="F211" s="250">
        <v>39</v>
      </c>
      <c r="G211" s="250">
        <v>66</v>
      </c>
      <c r="H211" s="250">
        <v>64</v>
      </c>
      <c r="I211" s="250">
        <v>17</v>
      </c>
      <c r="J211" s="81"/>
      <c r="K211" s="81"/>
    </row>
    <row r="212" spans="1:11" s="46" customFormat="1" ht="12.75" customHeight="1">
      <c r="A212" s="94"/>
      <c r="B212" s="95" t="s">
        <v>232</v>
      </c>
      <c r="C212" s="250"/>
      <c r="D212" s="250">
        <v>26</v>
      </c>
      <c r="E212" s="250">
        <v>180</v>
      </c>
      <c r="F212" s="250">
        <v>29</v>
      </c>
      <c r="G212" s="250"/>
      <c r="H212" s="250"/>
      <c r="I212" s="250"/>
      <c r="J212" s="81"/>
      <c r="K212" s="81"/>
    </row>
    <row r="213" spans="1:11" ht="12.75" customHeight="1">
      <c r="A213" s="94"/>
      <c r="B213" s="95"/>
      <c r="C213" s="95"/>
      <c r="D213" s="95"/>
      <c r="E213" s="95"/>
      <c r="F213" s="95"/>
      <c r="G213" s="95"/>
      <c r="H213" s="95"/>
      <c r="I213" s="98"/>
      <c r="J213" s="81"/>
      <c r="K213" s="81"/>
    </row>
    <row r="214" spans="1:11" ht="12.75" customHeight="1">
      <c r="A214" s="81"/>
      <c r="B214" s="103"/>
      <c r="C214" s="103"/>
      <c r="D214" s="103"/>
      <c r="E214" s="103"/>
      <c r="F214" s="103"/>
      <c r="G214" s="203"/>
      <c r="H214" s="1552" t="s">
        <v>384</v>
      </c>
      <c r="I214" s="1552"/>
      <c r="J214" s="81"/>
      <c r="K214" s="81"/>
    </row>
    <row r="215" spans="1:11" ht="12.75" customHeight="1">
      <c r="A215" s="1545" t="s">
        <v>172</v>
      </c>
      <c r="B215" s="1546"/>
      <c r="C215" s="1550" t="s">
        <v>563</v>
      </c>
      <c r="D215" s="206"/>
      <c r="E215" s="206"/>
      <c r="F215" s="206"/>
      <c r="G215" s="206"/>
      <c r="H215" s="207"/>
      <c r="I215" s="1553" t="s">
        <v>166</v>
      </c>
      <c r="J215" s="81"/>
      <c r="K215" s="81"/>
    </row>
    <row r="216" spans="1:11" ht="31.5" customHeight="1">
      <c r="A216" s="1547"/>
      <c r="B216" s="1548"/>
      <c r="C216" s="1551"/>
      <c r="D216" s="208"/>
      <c r="E216" s="208"/>
      <c r="F216" s="208"/>
      <c r="G216" s="208"/>
      <c r="H216" s="209"/>
      <c r="I216" s="1554"/>
      <c r="J216" s="81"/>
      <c r="K216" s="81"/>
    </row>
    <row r="217" spans="1:11" ht="12.75" customHeight="1">
      <c r="A217" s="84"/>
      <c r="B217" s="85" t="s">
        <v>66</v>
      </c>
      <c r="C217" s="199"/>
      <c r="D217" s="204"/>
      <c r="E217" s="204"/>
      <c r="F217" s="204"/>
      <c r="G217" s="205"/>
      <c r="H217" s="210"/>
      <c r="I217" s="211"/>
      <c r="J217" s="81"/>
      <c r="K217" s="81"/>
    </row>
    <row r="218" spans="1:11" ht="12.75" customHeight="1">
      <c r="A218" s="86"/>
      <c r="B218" s="87" t="s">
        <v>67</v>
      </c>
      <c r="C218" s="88">
        <v>0</v>
      </c>
      <c r="D218" s="102"/>
      <c r="E218" s="204"/>
      <c r="F218" s="204"/>
      <c r="G218" s="205"/>
      <c r="H218" s="210"/>
      <c r="I218" s="1068">
        <f>SUM(C218:H218,C176:H176,C134:I134,C92:I92,C50:I50,D8:I8)</f>
        <v>27834</v>
      </c>
      <c r="J218" s="81"/>
      <c r="K218" s="81"/>
    </row>
    <row r="219" spans="1:11" ht="12.75" customHeight="1">
      <c r="A219" s="86"/>
      <c r="B219" s="87" t="s">
        <v>68</v>
      </c>
      <c r="C219" s="88">
        <v>10772</v>
      </c>
      <c r="D219" s="102"/>
      <c r="E219" s="204"/>
      <c r="F219" s="204"/>
      <c r="G219" s="205"/>
      <c r="H219" s="210"/>
      <c r="I219" s="1068">
        <f aca="true" t="shared" si="12" ref="I219:I232">SUM(C219:H219,C177:H177,C135:I135,C93:I93,C51:I51,D9:I9)</f>
        <v>668206.19210112</v>
      </c>
      <c r="J219" s="81"/>
      <c r="K219" s="81"/>
    </row>
    <row r="220" spans="1:11" ht="12.75" customHeight="1">
      <c r="A220" s="86"/>
      <c r="B220" s="87" t="s">
        <v>69</v>
      </c>
      <c r="C220" s="88">
        <v>1754</v>
      </c>
      <c r="D220" s="102"/>
      <c r="E220" s="204"/>
      <c r="F220" s="204"/>
      <c r="G220" s="205"/>
      <c r="H220" s="210"/>
      <c r="I220" s="1068">
        <f t="shared" si="12"/>
        <v>237588.6</v>
      </c>
      <c r="J220" s="81"/>
      <c r="K220" s="81"/>
    </row>
    <row r="221" spans="1:11" ht="12.75" customHeight="1">
      <c r="A221" s="86"/>
      <c r="B221" s="87" t="s">
        <v>1250</v>
      </c>
      <c r="C221" s="88">
        <v>0</v>
      </c>
      <c r="D221" s="102"/>
      <c r="E221" s="204"/>
      <c r="F221" s="204"/>
      <c r="G221" s="205"/>
      <c r="H221" s="210"/>
      <c r="I221" s="1068">
        <f t="shared" si="12"/>
        <v>0</v>
      </c>
      <c r="J221" s="81"/>
      <c r="K221" s="81"/>
    </row>
    <row r="222" spans="1:11" ht="12.75" customHeight="1">
      <c r="A222" s="86" t="s">
        <v>950</v>
      </c>
      <c r="B222" s="89" t="s">
        <v>1251</v>
      </c>
      <c r="C222" s="85">
        <v>12526</v>
      </c>
      <c r="D222" s="102"/>
      <c r="E222" s="204"/>
      <c r="F222" s="204"/>
      <c r="G222" s="205"/>
      <c r="H222" s="210"/>
      <c r="I222" s="1068">
        <f t="shared" si="12"/>
        <v>933628.79210112</v>
      </c>
      <c r="J222" s="81"/>
      <c r="K222" s="81"/>
    </row>
    <row r="223" spans="1:11" ht="12.75" customHeight="1">
      <c r="A223" s="86" t="s">
        <v>951</v>
      </c>
      <c r="B223" s="89" t="s">
        <v>134</v>
      </c>
      <c r="C223" s="85">
        <v>0</v>
      </c>
      <c r="D223" s="102"/>
      <c r="E223" s="204"/>
      <c r="F223" s="204"/>
      <c r="G223" s="205"/>
      <c r="H223" s="210"/>
      <c r="I223" s="1068">
        <f t="shared" si="12"/>
        <v>1500</v>
      </c>
      <c r="J223" s="81"/>
      <c r="K223" s="81"/>
    </row>
    <row r="224" spans="1:11" ht="12.75" customHeight="1">
      <c r="A224" s="86" t="s">
        <v>198</v>
      </c>
      <c r="B224" s="89" t="s">
        <v>1253</v>
      </c>
      <c r="C224" s="201">
        <v>0</v>
      </c>
      <c r="D224" s="212"/>
      <c r="E224" s="213"/>
      <c r="F224" s="213"/>
      <c r="G224" s="213"/>
      <c r="H224" s="214"/>
      <c r="I224" s="1068">
        <f t="shared" si="12"/>
        <v>212997</v>
      </c>
      <c r="J224" s="81"/>
      <c r="K224" s="81"/>
    </row>
    <row r="225" spans="1:11" ht="12.75" customHeight="1">
      <c r="A225" s="86"/>
      <c r="B225" s="87" t="s">
        <v>1254</v>
      </c>
      <c r="C225" s="90">
        <v>0</v>
      </c>
      <c r="D225" s="102"/>
      <c r="E225" s="204"/>
      <c r="F225" s="204"/>
      <c r="G225" s="205"/>
      <c r="H225" s="210"/>
      <c r="I225" s="1068">
        <f t="shared" si="12"/>
        <v>212597</v>
      </c>
      <c r="J225" s="81"/>
      <c r="K225" s="81"/>
    </row>
    <row r="226" spans="1:11" ht="12.75" customHeight="1">
      <c r="A226" s="86"/>
      <c r="B226" s="87" t="s">
        <v>1255</v>
      </c>
      <c r="C226" s="90"/>
      <c r="D226" s="102"/>
      <c r="E226" s="204"/>
      <c r="F226" s="204"/>
      <c r="G226" s="205"/>
      <c r="H226" s="210"/>
      <c r="I226" s="1068">
        <f t="shared" si="12"/>
        <v>202404</v>
      </c>
      <c r="J226" s="81"/>
      <c r="K226" s="81"/>
    </row>
    <row r="227" spans="1:11" ht="12.75" customHeight="1">
      <c r="A227" s="86"/>
      <c r="B227" s="87" t="s">
        <v>1256</v>
      </c>
      <c r="C227" s="90">
        <v>0</v>
      </c>
      <c r="D227" s="102"/>
      <c r="E227" s="204"/>
      <c r="F227" s="204"/>
      <c r="G227" s="205"/>
      <c r="H227" s="210"/>
      <c r="I227" s="1068">
        <f t="shared" si="12"/>
        <v>400</v>
      </c>
      <c r="J227" s="81"/>
      <c r="K227" s="81"/>
    </row>
    <row r="228" spans="1:11" ht="12.75" customHeight="1">
      <c r="A228" s="86"/>
      <c r="B228" s="87" t="s">
        <v>1255</v>
      </c>
      <c r="C228" s="88"/>
      <c r="D228" s="102"/>
      <c r="E228" s="204"/>
      <c r="F228" s="204"/>
      <c r="G228" s="205"/>
      <c r="H228" s="210"/>
      <c r="I228" s="1068">
        <f t="shared" si="12"/>
        <v>0</v>
      </c>
      <c r="J228" s="81"/>
      <c r="K228" s="81"/>
    </row>
    <row r="229" spans="1:11" ht="12.75" customHeight="1">
      <c r="A229" s="86" t="s">
        <v>259</v>
      </c>
      <c r="B229" s="89" t="s">
        <v>260</v>
      </c>
      <c r="C229" s="85">
        <v>0</v>
      </c>
      <c r="D229" s="102"/>
      <c r="E229" s="204"/>
      <c r="F229" s="204"/>
      <c r="G229" s="205"/>
      <c r="H229" s="210"/>
      <c r="I229" s="1068">
        <f t="shared" si="12"/>
        <v>34800</v>
      </c>
      <c r="J229" s="81"/>
      <c r="K229" s="81"/>
    </row>
    <row r="230" spans="1:11" ht="12.75" customHeight="1">
      <c r="A230" s="86"/>
      <c r="B230" s="87" t="s">
        <v>1257</v>
      </c>
      <c r="C230" s="88">
        <v>0</v>
      </c>
      <c r="D230" s="102"/>
      <c r="E230" s="204"/>
      <c r="F230" s="204"/>
      <c r="G230" s="205"/>
      <c r="H230" s="210"/>
      <c r="I230" s="1068">
        <f t="shared" si="12"/>
        <v>31800</v>
      </c>
      <c r="J230" s="81"/>
      <c r="K230" s="81"/>
    </row>
    <row r="231" spans="1:11" ht="12.75" customHeight="1">
      <c r="A231" s="86"/>
      <c r="B231" s="87" t="s">
        <v>1258</v>
      </c>
      <c r="C231" s="88">
        <v>0</v>
      </c>
      <c r="D231" s="102"/>
      <c r="E231" s="204"/>
      <c r="F231" s="204"/>
      <c r="G231" s="205"/>
      <c r="H231" s="210"/>
      <c r="I231" s="1068">
        <f t="shared" si="12"/>
        <v>3000</v>
      </c>
      <c r="J231" s="81"/>
      <c r="K231" s="81"/>
    </row>
    <row r="232" spans="1:11" ht="12.75" customHeight="1">
      <c r="A232" s="84" t="s">
        <v>262</v>
      </c>
      <c r="B232" s="85" t="s">
        <v>1259</v>
      </c>
      <c r="C232" s="85">
        <v>527166</v>
      </c>
      <c r="D232" s="102"/>
      <c r="E232" s="204"/>
      <c r="F232" s="204"/>
      <c r="G232" s="205"/>
      <c r="H232" s="210"/>
      <c r="I232" s="1068">
        <f t="shared" si="12"/>
        <v>9876388</v>
      </c>
      <c r="J232" s="81"/>
      <c r="K232" s="81"/>
    </row>
    <row r="233" spans="1:11" ht="12.75" customHeight="1">
      <c r="A233" s="91"/>
      <c r="B233" s="93" t="s">
        <v>1260</v>
      </c>
      <c r="C233" s="93">
        <f>SUM(C232,C229,C224,C223,C222)</f>
        <v>539692</v>
      </c>
      <c r="D233" s="204"/>
      <c r="E233" s="204"/>
      <c r="F233" s="204"/>
      <c r="G233" s="205"/>
      <c r="H233" s="210"/>
      <c r="I233" s="93">
        <f>SUM(I222,I223,I224,I229,I232)</f>
        <v>11059313.79210112</v>
      </c>
      <c r="J233" s="81"/>
      <c r="K233" s="81"/>
    </row>
    <row r="234" spans="1:11" ht="12.75" customHeight="1">
      <c r="A234" s="84"/>
      <c r="B234" s="85" t="s">
        <v>1261</v>
      </c>
      <c r="C234" s="88"/>
      <c r="D234" s="204"/>
      <c r="E234" s="204"/>
      <c r="F234" s="204"/>
      <c r="G234" s="205"/>
      <c r="H234" s="210"/>
      <c r="I234" s="1068"/>
      <c r="J234" s="81"/>
      <c r="K234" s="81"/>
    </row>
    <row r="235" spans="1:11" ht="12.75" customHeight="1">
      <c r="A235" s="84" t="s">
        <v>950</v>
      </c>
      <c r="B235" s="85" t="s">
        <v>89</v>
      </c>
      <c r="C235" s="85">
        <v>372476</v>
      </c>
      <c r="D235" s="204"/>
      <c r="E235" s="204"/>
      <c r="F235" s="204"/>
      <c r="G235" s="205"/>
      <c r="H235" s="210"/>
      <c r="I235" s="1068">
        <f aca="true" t="shared" si="13" ref="I235:I251">SUM(C235:H235,C193:H193,C151:I151,C109:I109,C67:I67,D25:I25)</f>
        <v>6107063</v>
      </c>
      <c r="J235" s="81"/>
      <c r="K235" s="81"/>
    </row>
    <row r="236" spans="1:11" ht="12.75" customHeight="1">
      <c r="A236" s="84" t="s">
        <v>951</v>
      </c>
      <c r="B236" s="85" t="s">
        <v>892</v>
      </c>
      <c r="C236" s="85">
        <v>108021</v>
      </c>
      <c r="D236" s="204"/>
      <c r="E236" s="204"/>
      <c r="F236" s="204"/>
      <c r="G236" s="205"/>
      <c r="H236" s="210"/>
      <c r="I236" s="1068">
        <f t="shared" si="13"/>
        <v>1745509</v>
      </c>
      <c r="J236" s="81"/>
      <c r="K236" s="81"/>
    </row>
    <row r="237" spans="1:11" ht="12.75" customHeight="1">
      <c r="A237" s="84" t="s">
        <v>198</v>
      </c>
      <c r="B237" s="85" t="s">
        <v>893</v>
      </c>
      <c r="C237" s="85">
        <v>11175</v>
      </c>
      <c r="D237" s="204"/>
      <c r="E237" s="204"/>
      <c r="F237" s="204"/>
      <c r="G237" s="204"/>
      <c r="H237" s="210"/>
      <c r="I237" s="1068">
        <f t="shared" si="13"/>
        <v>177706</v>
      </c>
      <c r="J237" s="81"/>
      <c r="K237" s="81"/>
    </row>
    <row r="238" spans="1:11" ht="12.75" customHeight="1">
      <c r="A238" s="84" t="s">
        <v>259</v>
      </c>
      <c r="B238" s="85" t="s">
        <v>1083</v>
      </c>
      <c r="C238" s="85">
        <v>2948</v>
      </c>
      <c r="D238" s="204"/>
      <c r="E238" s="204"/>
      <c r="F238" s="204"/>
      <c r="G238" s="205"/>
      <c r="H238" s="210"/>
      <c r="I238" s="1068">
        <f t="shared" si="13"/>
        <v>66593</v>
      </c>
      <c r="J238" s="81"/>
      <c r="K238" s="81"/>
    </row>
    <row r="239" spans="1:11" ht="12.75" customHeight="1">
      <c r="A239" s="84" t="s">
        <v>262</v>
      </c>
      <c r="B239" s="85" t="s">
        <v>1346</v>
      </c>
      <c r="C239" s="85"/>
      <c r="D239" s="204"/>
      <c r="E239" s="204"/>
      <c r="F239" s="204"/>
      <c r="G239" s="205"/>
      <c r="H239" s="210"/>
      <c r="I239" s="1068">
        <f t="shared" si="13"/>
        <v>0</v>
      </c>
      <c r="J239" s="81"/>
      <c r="K239" s="81"/>
    </row>
    <row r="240" spans="1:11" ht="12.75" customHeight="1">
      <c r="A240" s="84" t="s">
        <v>264</v>
      </c>
      <c r="B240" s="85" t="s">
        <v>93</v>
      </c>
      <c r="C240" s="85">
        <v>45072</v>
      </c>
      <c r="D240" s="204"/>
      <c r="E240" s="204"/>
      <c r="F240" s="204"/>
      <c r="G240" s="205"/>
      <c r="H240" s="210"/>
      <c r="I240" s="1068">
        <f t="shared" si="13"/>
        <v>2891543</v>
      </c>
      <c r="J240" s="81"/>
      <c r="K240" s="81"/>
    </row>
    <row r="241" spans="1:11" ht="12.75" customHeight="1">
      <c r="A241" s="84"/>
      <c r="B241" s="88" t="s">
        <v>1262</v>
      </c>
      <c r="C241" s="88">
        <v>5500</v>
      </c>
      <c r="D241" s="204"/>
      <c r="E241" s="204"/>
      <c r="F241" s="204"/>
      <c r="G241" s="205"/>
      <c r="H241" s="210"/>
      <c r="I241" s="1068">
        <f t="shared" si="13"/>
        <v>231108</v>
      </c>
      <c r="J241" s="81"/>
      <c r="K241" s="81"/>
    </row>
    <row r="242" spans="1:11" ht="12.75" customHeight="1">
      <c r="A242" s="84"/>
      <c r="B242" s="88" t="s">
        <v>1263</v>
      </c>
      <c r="C242" s="88">
        <v>3800</v>
      </c>
      <c r="D242" s="204"/>
      <c r="E242" s="204"/>
      <c r="F242" s="204"/>
      <c r="G242" s="205"/>
      <c r="H242" s="210"/>
      <c r="I242" s="1068">
        <f t="shared" si="13"/>
        <v>140800</v>
      </c>
      <c r="J242" s="81"/>
      <c r="K242" s="81"/>
    </row>
    <row r="243" spans="1:11" ht="12.75" customHeight="1">
      <c r="A243" s="84"/>
      <c r="B243" s="88" t="s">
        <v>1264</v>
      </c>
      <c r="C243" s="88">
        <v>0</v>
      </c>
      <c r="D243" s="204"/>
      <c r="E243" s="204"/>
      <c r="F243" s="204"/>
      <c r="G243" s="205"/>
      <c r="H243" s="210"/>
      <c r="I243" s="1068">
        <f t="shared" si="13"/>
        <v>151389</v>
      </c>
      <c r="J243" s="81"/>
      <c r="K243" s="81"/>
    </row>
    <row r="244" spans="1:11" ht="12.75" customHeight="1">
      <c r="A244" s="84"/>
      <c r="B244" s="88" t="s">
        <v>1265</v>
      </c>
      <c r="C244" s="88">
        <v>800</v>
      </c>
      <c r="D244" s="204"/>
      <c r="E244" s="204"/>
      <c r="F244" s="204"/>
      <c r="G244" s="205"/>
      <c r="H244" s="210"/>
      <c r="I244" s="1068">
        <f t="shared" si="13"/>
        <v>54144</v>
      </c>
      <c r="J244" s="81"/>
      <c r="K244" s="81"/>
    </row>
    <row r="245" spans="1:11" ht="12.75" customHeight="1">
      <c r="A245" s="84"/>
      <c r="B245" s="88" t="s">
        <v>1266</v>
      </c>
      <c r="C245" s="88">
        <v>0</v>
      </c>
      <c r="D245" s="204"/>
      <c r="E245" s="204"/>
      <c r="F245" s="204"/>
      <c r="G245" s="205"/>
      <c r="H245" s="210"/>
      <c r="I245" s="1068">
        <f t="shared" si="13"/>
        <v>739096</v>
      </c>
      <c r="J245" s="81"/>
      <c r="K245" s="81"/>
    </row>
    <row r="246" spans="1:11" ht="12.75" customHeight="1">
      <c r="A246" s="84"/>
      <c r="B246" s="88" t="s">
        <v>1267</v>
      </c>
      <c r="C246" s="88">
        <v>0</v>
      </c>
      <c r="D246" s="204"/>
      <c r="E246" s="204"/>
      <c r="F246" s="204"/>
      <c r="G246" s="205"/>
      <c r="H246" s="210"/>
      <c r="I246" s="1068">
        <f t="shared" si="13"/>
        <v>55581</v>
      </c>
      <c r="J246" s="81"/>
      <c r="K246" s="81"/>
    </row>
    <row r="247" spans="1:11" ht="12.75" customHeight="1">
      <c r="A247" s="84"/>
      <c r="B247" s="88" t="s">
        <v>1268</v>
      </c>
      <c r="C247" s="88">
        <v>10000</v>
      </c>
      <c r="D247" s="204"/>
      <c r="E247" s="204"/>
      <c r="F247" s="204"/>
      <c r="G247" s="205"/>
      <c r="H247" s="210"/>
      <c r="I247" s="1068">
        <f t="shared" si="13"/>
        <v>182500</v>
      </c>
      <c r="J247" s="81"/>
      <c r="K247" s="81"/>
    </row>
    <row r="248" spans="1:11" ht="12.75" customHeight="1">
      <c r="A248" s="84"/>
      <c r="B248" s="88" t="s">
        <v>1269</v>
      </c>
      <c r="C248" s="88">
        <v>6400</v>
      </c>
      <c r="D248" s="204"/>
      <c r="E248" s="204"/>
      <c r="F248" s="204"/>
      <c r="G248" s="205"/>
      <c r="H248" s="210"/>
      <c r="I248" s="1068">
        <f t="shared" si="13"/>
        <v>416815</v>
      </c>
      <c r="J248" s="81"/>
      <c r="K248" s="81"/>
    </row>
    <row r="249" spans="1:11" ht="12.75" customHeight="1">
      <c r="A249" s="84" t="s">
        <v>265</v>
      </c>
      <c r="B249" s="85" t="s">
        <v>96</v>
      </c>
      <c r="C249" s="85">
        <v>0</v>
      </c>
      <c r="D249" s="204"/>
      <c r="E249" s="204"/>
      <c r="F249" s="204"/>
      <c r="G249" s="205"/>
      <c r="H249" s="210"/>
      <c r="I249" s="1068">
        <f t="shared" si="13"/>
        <v>0</v>
      </c>
      <c r="J249" s="81"/>
      <c r="K249" s="81"/>
    </row>
    <row r="250" spans="1:11" ht="12.75" customHeight="1">
      <c r="A250" s="84" t="s">
        <v>1347</v>
      </c>
      <c r="B250" s="85" t="s">
        <v>1348</v>
      </c>
      <c r="C250" s="85">
        <v>0</v>
      </c>
      <c r="D250" s="204"/>
      <c r="E250" s="204"/>
      <c r="F250" s="204"/>
      <c r="G250" s="205"/>
      <c r="H250" s="210"/>
      <c r="I250" s="1068">
        <f t="shared" si="13"/>
        <v>26200</v>
      </c>
      <c r="J250" s="81"/>
      <c r="K250" s="81"/>
    </row>
    <row r="251" spans="1:11" ht="12.75" customHeight="1">
      <c r="A251" s="84" t="s">
        <v>1349</v>
      </c>
      <c r="B251" s="85" t="s">
        <v>161</v>
      </c>
      <c r="C251" s="85">
        <v>0</v>
      </c>
      <c r="D251" s="204"/>
      <c r="E251" s="204"/>
      <c r="F251" s="204"/>
      <c r="G251" s="205"/>
      <c r="H251" s="210"/>
      <c r="I251" s="1068">
        <f t="shared" si="13"/>
        <v>44700</v>
      </c>
      <c r="J251" s="81"/>
      <c r="K251" s="81"/>
    </row>
    <row r="252" spans="1:11" ht="12.75" customHeight="1">
      <c r="A252" s="92"/>
      <c r="B252" s="93" t="s">
        <v>1270</v>
      </c>
      <c r="C252" s="93">
        <f>SUM(C235,C236:C239,C240,C249:C251)</f>
        <v>539692</v>
      </c>
      <c r="D252" s="328"/>
      <c r="E252" s="329"/>
      <c r="F252" s="329"/>
      <c r="G252" s="329"/>
      <c r="H252" s="330"/>
      <c r="I252" s="93">
        <f>SUM(I249:I251,I236:I240,I235)</f>
        <v>11059314</v>
      </c>
      <c r="J252" s="81"/>
      <c r="K252" s="81"/>
    </row>
    <row r="253" spans="1:11" s="46" customFormat="1" ht="12.75" customHeight="1">
      <c r="A253" s="94"/>
      <c r="B253" s="95" t="s">
        <v>231</v>
      </c>
      <c r="C253" s="250">
        <v>126</v>
      </c>
      <c r="D253" s="103"/>
      <c r="E253" s="103"/>
      <c r="F253" s="103"/>
      <c r="G253" s="203"/>
      <c r="H253" s="205"/>
      <c r="I253" s="1313">
        <f>SUM(C253:H253,C211:H211,C169:I169,C127:I127,C85:I85,D43:I43)</f>
        <v>2821.9000000000005</v>
      </c>
      <c r="J253" s="81"/>
      <c r="K253" s="81"/>
    </row>
    <row r="254" spans="1:11" s="46" customFormat="1" ht="12.75" customHeight="1">
      <c r="A254" s="94"/>
      <c r="B254" s="95" t="s">
        <v>232</v>
      </c>
      <c r="C254" s="250">
        <v>126</v>
      </c>
      <c r="D254" s="103"/>
      <c r="E254" s="103"/>
      <c r="F254" s="103"/>
      <c r="G254" s="203"/>
      <c r="H254" s="205"/>
      <c r="I254" s="1314">
        <f>SUM(C254:H254,C212:H212,C170:I170,C128:I128,C86:I86,D44:I44)</f>
        <v>1879.9</v>
      </c>
      <c r="J254" s="81"/>
      <c r="K254" s="81"/>
    </row>
    <row r="255" spans="1:11" ht="12.75" customHeight="1">
      <c r="A255" s="81"/>
      <c r="B255" s="103"/>
      <c r="C255" s="103"/>
      <c r="D255" s="103"/>
      <c r="E255" s="103"/>
      <c r="F255" s="103"/>
      <c r="G255" s="203"/>
      <c r="H255" s="203"/>
      <c r="I255" s="103"/>
      <c r="J255" s="81"/>
      <c r="K255" s="81"/>
    </row>
    <row r="256" spans="1:11" ht="12.75" customHeight="1">
      <c r="A256" s="81"/>
      <c r="B256" s="103"/>
      <c r="C256" s="103"/>
      <c r="D256" s="103"/>
      <c r="E256" s="103"/>
      <c r="F256" s="103"/>
      <c r="G256" s="203"/>
      <c r="H256" s="203"/>
      <c r="I256" s="103"/>
      <c r="J256" s="81"/>
      <c r="K256" s="81"/>
    </row>
    <row r="257" spans="1:11" ht="12.75" customHeight="1">
      <c r="A257" s="81"/>
      <c r="B257" s="103"/>
      <c r="C257" s="103"/>
      <c r="D257" s="103"/>
      <c r="E257" s="103"/>
      <c r="F257" s="103"/>
      <c r="G257" s="203"/>
      <c r="H257" s="203"/>
      <c r="I257" s="103"/>
      <c r="J257" s="81"/>
      <c r="K257" s="81"/>
    </row>
    <row r="258" spans="1:11" ht="12.75" customHeight="1">
      <c r="A258" s="81"/>
      <c r="B258" s="103"/>
      <c r="C258" s="103"/>
      <c r="D258" s="103"/>
      <c r="E258" s="103"/>
      <c r="F258" s="103"/>
      <c r="G258" s="203"/>
      <c r="H258" s="203"/>
      <c r="I258" s="103"/>
      <c r="J258" s="81"/>
      <c r="K258" s="81"/>
    </row>
    <row r="259" spans="1:11" ht="12.75" customHeight="1">
      <c r="A259" s="81"/>
      <c r="B259" s="103"/>
      <c r="C259" s="103"/>
      <c r="D259" s="103"/>
      <c r="E259" s="103"/>
      <c r="F259" s="103"/>
      <c r="G259" s="203"/>
      <c r="H259" s="203"/>
      <c r="I259" s="103"/>
      <c r="J259" s="81"/>
      <c r="K259" s="81"/>
    </row>
    <row r="260" spans="1:11" ht="12.75" customHeight="1">
      <c r="A260" s="81"/>
      <c r="B260" s="103"/>
      <c r="C260" s="103"/>
      <c r="D260" s="103"/>
      <c r="E260" s="103"/>
      <c r="F260" s="103"/>
      <c r="G260" s="203"/>
      <c r="H260" s="203"/>
      <c r="I260" s="103"/>
      <c r="J260" s="81"/>
      <c r="K260" s="81"/>
    </row>
    <row r="261" spans="1:11" ht="12.75" customHeight="1">
      <c r="A261" s="81"/>
      <c r="B261" s="103"/>
      <c r="C261" s="103"/>
      <c r="D261" s="103"/>
      <c r="E261" s="103"/>
      <c r="F261" s="103"/>
      <c r="G261" s="203"/>
      <c r="H261" s="203"/>
      <c r="I261" s="103"/>
      <c r="J261" s="81"/>
      <c r="K261" s="81"/>
    </row>
    <row r="262" spans="1:11" ht="12.75" customHeight="1">
      <c r="A262" s="81"/>
      <c r="B262" s="103"/>
      <c r="C262" s="103"/>
      <c r="D262" s="103"/>
      <c r="E262" s="103"/>
      <c r="F262" s="103"/>
      <c r="G262" s="203"/>
      <c r="H262" s="203"/>
      <c r="I262" s="103"/>
      <c r="J262" s="81"/>
      <c r="K262" s="81"/>
    </row>
    <row r="263" spans="1:11" ht="12.75" customHeight="1">
      <c r="A263" s="81"/>
      <c r="B263" s="103"/>
      <c r="C263" s="103"/>
      <c r="D263" s="103"/>
      <c r="E263" s="103"/>
      <c r="F263" s="103"/>
      <c r="G263" s="203"/>
      <c r="H263" s="203"/>
      <c r="I263" s="103"/>
      <c r="J263" s="81"/>
      <c r="K263" s="81"/>
    </row>
    <row r="264" spans="1:11" ht="12.75" customHeight="1">
      <c r="A264" s="81"/>
      <c r="B264" s="103"/>
      <c r="C264" s="103"/>
      <c r="D264" s="103"/>
      <c r="E264" s="103"/>
      <c r="F264" s="103"/>
      <c r="G264" s="203"/>
      <c r="H264" s="203"/>
      <c r="I264" s="103"/>
      <c r="J264" s="81"/>
      <c r="K264" s="81"/>
    </row>
    <row r="265" spans="1:11" ht="12.75" customHeight="1">
      <c r="A265" s="81"/>
      <c r="B265" s="103"/>
      <c r="C265" s="103"/>
      <c r="D265" s="103"/>
      <c r="E265" s="103"/>
      <c r="F265" s="103"/>
      <c r="G265" s="203"/>
      <c r="H265" s="203"/>
      <c r="I265" s="103"/>
      <c r="J265" s="81"/>
      <c r="K265" s="81"/>
    </row>
    <row r="266" spans="1:11" ht="12.75" customHeight="1">
      <c r="A266" s="81"/>
      <c r="B266" s="103"/>
      <c r="C266" s="103"/>
      <c r="D266" s="103"/>
      <c r="E266" s="103"/>
      <c r="F266" s="103"/>
      <c r="G266" s="203"/>
      <c r="H266" s="203"/>
      <c r="I266" s="103"/>
      <c r="J266" s="81"/>
      <c r="K266" s="81"/>
    </row>
    <row r="267" spans="1:11" ht="12.75" customHeight="1">
      <c r="A267" s="81"/>
      <c r="B267" s="103"/>
      <c r="C267" s="103"/>
      <c r="D267" s="103"/>
      <c r="E267" s="103"/>
      <c r="F267" s="103"/>
      <c r="G267" s="203"/>
      <c r="H267" s="203"/>
      <c r="I267" s="103"/>
      <c r="J267" s="81"/>
      <c r="K267" s="81"/>
    </row>
    <row r="268" spans="1:11" ht="12.75" customHeight="1">
      <c r="A268" s="81"/>
      <c r="B268" s="103"/>
      <c r="C268" s="103"/>
      <c r="D268" s="103"/>
      <c r="E268" s="103"/>
      <c r="F268" s="103"/>
      <c r="G268" s="203"/>
      <c r="H268" s="203"/>
      <c r="I268" s="103"/>
      <c r="J268" s="81"/>
      <c r="K268" s="81"/>
    </row>
    <row r="269" spans="1:11" ht="12.75" customHeight="1">
      <c r="A269" s="81"/>
      <c r="B269" s="103"/>
      <c r="C269" s="103"/>
      <c r="D269" s="103"/>
      <c r="E269" s="103"/>
      <c r="F269" s="103"/>
      <c r="G269" s="203"/>
      <c r="H269" s="203"/>
      <c r="I269" s="103"/>
      <c r="J269" s="81"/>
      <c r="K269" s="81"/>
    </row>
    <row r="270" spans="1:11" ht="12.75" customHeight="1">
      <c r="A270" s="81"/>
      <c r="B270" s="103"/>
      <c r="C270" s="103"/>
      <c r="D270" s="103"/>
      <c r="E270" s="103"/>
      <c r="F270" s="103"/>
      <c r="G270" s="203"/>
      <c r="H270" s="203"/>
      <c r="I270" s="103"/>
      <c r="J270" s="81"/>
      <c r="K270" s="81"/>
    </row>
    <row r="271" spans="1:11" ht="12.75" customHeight="1">
      <c r="A271" s="81"/>
      <c r="B271" s="103"/>
      <c r="C271" s="103"/>
      <c r="D271" s="103"/>
      <c r="E271" s="103"/>
      <c r="F271" s="103"/>
      <c r="G271" s="203"/>
      <c r="H271" s="203"/>
      <c r="I271" s="103"/>
      <c r="J271" s="81"/>
      <c r="K271" s="81"/>
    </row>
    <row r="272" spans="1:11" ht="12.75" customHeight="1">
      <c r="A272" s="81"/>
      <c r="B272" s="103"/>
      <c r="C272" s="103"/>
      <c r="D272" s="103"/>
      <c r="E272" s="103"/>
      <c r="F272" s="103"/>
      <c r="G272" s="203"/>
      <c r="H272" s="203"/>
      <c r="I272" s="103"/>
      <c r="J272" s="81"/>
      <c r="K272" s="81"/>
    </row>
    <row r="273" spans="1:11" ht="12.75" customHeight="1">
      <c r="A273" s="81"/>
      <c r="B273" s="103"/>
      <c r="C273" s="103"/>
      <c r="D273" s="103"/>
      <c r="E273" s="103"/>
      <c r="F273" s="103"/>
      <c r="G273" s="203"/>
      <c r="H273" s="203"/>
      <c r="I273" s="103"/>
      <c r="J273" s="81"/>
      <c r="K273" s="81"/>
    </row>
    <row r="274" spans="1:11" ht="12.75" customHeight="1">
      <c r="A274" s="81"/>
      <c r="B274" s="103"/>
      <c r="C274" s="103"/>
      <c r="D274" s="103"/>
      <c r="E274" s="103"/>
      <c r="F274" s="103"/>
      <c r="G274" s="203"/>
      <c r="H274" s="203"/>
      <c r="I274" s="103"/>
      <c r="J274" s="81"/>
      <c r="K274" s="81"/>
    </row>
    <row r="275" spans="1:11" ht="12.75" customHeight="1">
      <c r="A275" s="81"/>
      <c r="B275" s="103"/>
      <c r="C275" s="103"/>
      <c r="D275" s="103"/>
      <c r="E275" s="103"/>
      <c r="F275" s="103"/>
      <c r="G275" s="203"/>
      <c r="H275" s="203"/>
      <c r="I275" s="103"/>
      <c r="J275" s="81"/>
      <c r="K275" s="81"/>
    </row>
    <row r="276" spans="1:11" ht="12.75" customHeight="1">
      <c r="A276" s="81"/>
      <c r="B276" s="103"/>
      <c r="C276" s="103"/>
      <c r="D276" s="103"/>
      <c r="E276" s="103"/>
      <c r="F276" s="103"/>
      <c r="G276" s="203"/>
      <c r="H276" s="203"/>
      <c r="I276" s="103"/>
      <c r="J276" s="81"/>
      <c r="K276" s="81"/>
    </row>
    <row r="277" spans="1:11" ht="12.75" customHeight="1">
      <c r="A277" s="81"/>
      <c r="B277" s="103"/>
      <c r="C277" s="103"/>
      <c r="D277" s="103"/>
      <c r="E277" s="103"/>
      <c r="F277" s="103"/>
      <c r="G277" s="203"/>
      <c r="H277" s="203"/>
      <c r="I277" s="103"/>
      <c r="J277" s="81"/>
      <c r="K277" s="81"/>
    </row>
    <row r="278" spans="1:11" ht="12.75" customHeight="1">
      <c r="A278" s="81"/>
      <c r="B278" s="103"/>
      <c r="C278" s="103"/>
      <c r="D278" s="103"/>
      <c r="E278" s="103"/>
      <c r="F278" s="103"/>
      <c r="G278" s="203"/>
      <c r="H278" s="203"/>
      <c r="I278" s="103"/>
      <c r="J278" s="81"/>
      <c r="K278" s="81"/>
    </row>
    <row r="279" spans="1:11" ht="12.75" customHeight="1">
      <c r="A279" s="81"/>
      <c r="B279" s="103"/>
      <c r="C279" s="103"/>
      <c r="D279" s="103"/>
      <c r="E279" s="103"/>
      <c r="F279" s="103"/>
      <c r="G279" s="203"/>
      <c r="H279" s="203"/>
      <c r="I279" s="103"/>
      <c r="J279" s="81"/>
      <c r="K279" s="81"/>
    </row>
    <row r="280" spans="1:11" ht="12.75" customHeight="1">
      <c r="A280" s="81"/>
      <c r="B280" s="103"/>
      <c r="C280" s="103"/>
      <c r="D280" s="103"/>
      <c r="E280" s="103"/>
      <c r="F280" s="103"/>
      <c r="G280" s="203"/>
      <c r="H280" s="203"/>
      <c r="I280" s="103"/>
      <c r="J280" s="81"/>
      <c r="K280" s="81"/>
    </row>
    <row r="281" spans="1:11" ht="12.75" customHeight="1">
      <c r="A281" s="81"/>
      <c r="B281" s="103"/>
      <c r="C281" s="103"/>
      <c r="D281" s="103"/>
      <c r="E281" s="103"/>
      <c r="F281" s="103"/>
      <c r="G281" s="203"/>
      <c r="H281" s="203"/>
      <c r="I281" s="103"/>
      <c r="J281" s="81"/>
      <c r="K281" s="81"/>
    </row>
    <row r="282" spans="1:11" ht="12.75" customHeight="1">
      <c r="A282" s="81"/>
      <c r="B282" s="103"/>
      <c r="C282" s="103"/>
      <c r="D282" s="103"/>
      <c r="E282" s="103"/>
      <c r="F282" s="103"/>
      <c r="G282" s="203"/>
      <c r="H282" s="203"/>
      <c r="I282" s="103"/>
      <c r="J282" s="81"/>
      <c r="K282" s="81"/>
    </row>
    <row r="283" spans="1:11" ht="12.75" customHeight="1">
      <c r="A283" s="81"/>
      <c r="B283" s="103"/>
      <c r="C283" s="103"/>
      <c r="D283" s="103"/>
      <c r="E283" s="103"/>
      <c r="F283" s="103"/>
      <c r="G283" s="203"/>
      <c r="H283" s="203"/>
      <c r="I283" s="103"/>
      <c r="J283" s="81"/>
      <c r="K283" s="81"/>
    </row>
    <row r="284" spans="1:11" ht="12.75" customHeight="1">
      <c r="A284" s="81"/>
      <c r="B284" s="103"/>
      <c r="C284" s="103"/>
      <c r="D284" s="103"/>
      <c r="E284" s="103"/>
      <c r="F284" s="103"/>
      <c r="G284" s="203"/>
      <c r="H284" s="203"/>
      <c r="I284" s="103"/>
      <c r="J284" s="81"/>
      <c r="K284" s="81"/>
    </row>
    <row r="285" spans="1:11" ht="12.75" customHeight="1">
      <c r="A285" s="81"/>
      <c r="B285" s="103"/>
      <c r="C285" s="103"/>
      <c r="D285" s="103"/>
      <c r="E285" s="103"/>
      <c r="F285" s="103"/>
      <c r="G285" s="203"/>
      <c r="H285" s="203"/>
      <c r="I285" s="103"/>
      <c r="J285" s="81"/>
      <c r="K285" s="81"/>
    </row>
    <row r="286" spans="1:11" ht="12.75" customHeight="1">
      <c r="A286" s="81"/>
      <c r="B286" s="103"/>
      <c r="C286" s="103"/>
      <c r="D286" s="103"/>
      <c r="E286" s="103"/>
      <c r="F286" s="103"/>
      <c r="G286" s="203"/>
      <c r="H286" s="203"/>
      <c r="I286" s="103"/>
      <c r="J286" s="81"/>
      <c r="K286" s="81"/>
    </row>
    <row r="287" spans="1:11" ht="12.75" customHeight="1">
      <c r="A287" s="81"/>
      <c r="B287" s="103"/>
      <c r="C287" s="103"/>
      <c r="D287" s="103"/>
      <c r="E287" s="103"/>
      <c r="F287" s="103"/>
      <c r="G287" s="203"/>
      <c r="H287" s="203"/>
      <c r="I287" s="103"/>
      <c r="J287" s="81"/>
      <c r="K287" s="81"/>
    </row>
    <row r="288" spans="1:11" ht="12.75" customHeight="1">
      <c r="A288" s="81"/>
      <c r="B288" s="103"/>
      <c r="C288" s="103"/>
      <c r="D288" s="103"/>
      <c r="E288" s="103"/>
      <c r="F288" s="103"/>
      <c r="G288" s="203"/>
      <c r="H288" s="203"/>
      <c r="I288" s="103"/>
      <c r="J288" s="81"/>
      <c r="K288" s="81"/>
    </row>
    <row r="289" spans="1:11" ht="12.75" customHeight="1">
      <c r="A289" s="81"/>
      <c r="B289" s="103"/>
      <c r="C289" s="103"/>
      <c r="D289" s="103"/>
      <c r="E289" s="103"/>
      <c r="F289" s="103"/>
      <c r="G289" s="203"/>
      <c r="H289" s="203"/>
      <c r="I289" s="103"/>
      <c r="J289" s="81"/>
      <c r="K289" s="81"/>
    </row>
    <row r="290" spans="1:11" ht="12.75" customHeight="1">
      <c r="A290" s="81"/>
      <c r="B290" s="103"/>
      <c r="C290" s="103"/>
      <c r="D290" s="103"/>
      <c r="E290" s="103"/>
      <c r="F290" s="103"/>
      <c r="G290" s="203"/>
      <c r="H290" s="203"/>
      <c r="I290" s="103"/>
      <c r="J290" s="81"/>
      <c r="K290" s="81"/>
    </row>
    <row r="291" spans="1:11" ht="12.75" customHeight="1">
      <c r="A291" s="81"/>
      <c r="B291" s="103"/>
      <c r="C291" s="103"/>
      <c r="D291" s="103"/>
      <c r="E291" s="103"/>
      <c r="F291" s="103"/>
      <c r="G291" s="203"/>
      <c r="H291" s="203"/>
      <c r="I291" s="103"/>
      <c r="J291" s="81"/>
      <c r="K291" s="81"/>
    </row>
    <row r="292" spans="1:11" ht="12.75" customHeight="1">
      <c r="A292" s="81"/>
      <c r="B292" s="103"/>
      <c r="C292" s="103"/>
      <c r="D292" s="103"/>
      <c r="E292" s="103"/>
      <c r="F292" s="103"/>
      <c r="G292" s="203"/>
      <c r="H292" s="203"/>
      <c r="I292" s="103"/>
      <c r="J292" s="81"/>
      <c r="K292" s="81"/>
    </row>
    <row r="293" spans="1:11" ht="12.75" customHeight="1">
      <c r="A293" s="81"/>
      <c r="B293" s="103"/>
      <c r="C293" s="103"/>
      <c r="D293" s="103"/>
      <c r="E293" s="103"/>
      <c r="F293" s="103"/>
      <c r="G293" s="203"/>
      <c r="H293" s="203"/>
      <c r="I293" s="103"/>
      <c r="J293" s="81"/>
      <c r="K293" s="81"/>
    </row>
    <row r="294" spans="1:11" ht="12.75" customHeight="1">
      <c r="A294" s="81"/>
      <c r="B294" s="103"/>
      <c r="C294" s="103"/>
      <c r="D294" s="103"/>
      <c r="E294" s="103"/>
      <c r="F294" s="103"/>
      <c r="G294" s="203"/>
      <c r="H294" s="203"/>
      <c r="I294" s="103"/>
      <c r="J294" s="81"/>
      <c r="K294" s="81"/>
    </row>
    <row r="295" spans="1:11" ht="12.75" customHeight="1">
      <c r="A295" s="81"/>
      <c r="B295" s="103"/>
      <c r="C295" s="81"/>
      <c r="D295" s="81"/>
      <c r="E295" s="81"/>
      <c r="F295" s="81"/>
      <c r="G295" s="98"/>
      <c r="H295" s="98"/>
      <c r="I295" s="81"/>
      <c r="J295" s="81"/>
      <c r="K295" s="81"/>
    </row>
    <row r="296" spans="1:11" ht="12.75" customHeight="1">
      <c r="A296" s="81"/>
      <c r="B296" s="103"/>
      <c r="C296" s="81"/>
      <c r="D296" s="81"/>
      <c r="E296" s="81"/>
      <c r="F296" s="81"/>
      <c r="G296" s="98"/>
      <c r="H296" s="98"/>
      <c r="I296" s="81"/>
      <c r="J296" s="81"/>
      <c r="K296" s="81"/>
    </row>
    <row r="297" spans="1:11" ht="12.75" customHeight="1">
      <c r="A297" s="81"/>
      <c r="B297" s="103"/>
      <c r="C297" s="81"/>
      <c r="D297" s="81"/>
      <c r="E297" s="81"/>
      <c r="F297" s="81"/>
      <c r="G297" s="98"/>
      <c r="H297" s="98"/>
      <c r="I297" s="81"/>
      <c r="J297" s="81"/>
      <c r="K297" s="81"/>
    </row>
    <row r="298" spans="1:11" ht="12.75" customHeight="1">
      <c r="A298" s="81"/>
      <c r="B298" s="103"/>
      <c r="C298" s="81"/>
      <c r="D298" s="81"/>
      <c r="E298" s="81"/>
      <c r="F298" s="81"/>
      <c r="G298" s="98"/>
      <c r="H298" s="98"/>
      <c r="I298" s="81"/>
      <c r="J298" s="81"/>
      <c r="K298" s="81"/>
    </row>
    <row r="299" spans="1:11" ht="12.75" customHeight="1">
      <c r="A299" s="81"/>
      <c r="B299" s="103"/>
      <c r="C299" s="81"/>
      <c r="D299" s="81"/>
      <c r="E299" s="81"/>
      <c r="F299" s="81"/>
      <c r="G299" s="98"/>
      <c r="H299" s="98"/>
      <c r="I299" s="81"/>
      <c r="J299" s="81"/>
      <c r="K299" s="81"/>
    </row>
    <row r="300" spans="1:11" ht="12.75" customHeight="1">
      <c r="A300" s="81"/>
      <c r="B300" s="103"/>
      <c r="C300" s="81"/>
      <c r="D300" s="81"/>
      <c r="E300" s="81"/>
      <c r="F300" s="81"/>
      <c r="G300" s="98"/>
      <c r="H300" s="98"/>
      <c r="I300" s="81"/>
      <c r="J300" s="81"/>
      <c r="K300" s="81"/>
    </row>
    <row r="301" spans="1:11" ht="12.75" customHeight="1">
      <c r="A301" s="81"/>
      <c r="B301" s="103"/>
      <c r="C301" s="81"/>
      <c r="D301" s="81"/>
      <c r="E301" s="81"/>
      <c r="F301" s="81"/>
      <c r="G301" s="98"/>
      <c r="H301" s="98"/>
      <c r="I301" s="81"/>
      <c r="J301" s="81"/>
      <c r="K301" s="81"/>
    </row>
    <row r="302" spans="1:11" ht="12.75" customHeight="1">
      <c r="A302" s="81"/>
      <c r="B302" s="103"/>
      <c r="C302" s="81"/>
      <c r="D302" s="81"/>
      <c r="E302" s="81"/>
      <c r="F302" s="81"/>
      <c r="G302" s="98"/>
      <c r="H302" s="98"/>
      <c r="I302" s="81"/>
      <c r="J302" s="81"/>
      <c r="K302" s="81"/>
    </row>
    <row r="303" spans="1:11" ht="12.75" customHeight="1">
      <c r="A303" s="81"/>
      <c r="B303" s="103"/>
      <c r="C303" s="81"/>
      <c r="D303" s="81"/>
      <c r="E303" s="81"/>
      <c r="F303" s="81"/>
      <c r="G303" s="98"/>
      <c r="H303" s="98"/>
      <c r="I303" s="81"/>
      <c r="J303" s="81"/>
      <c r="K303" s="81"/>
    </row>
    <row r="304" spans="1:11" ht="12.75" customHeight="1">
      <c r="A304" s="81"/>
      <c r="B304" s="103"/>
      <c r="C304" s="81"/>
      <c r="D304" s="81"/>
      <c r="E304" s="81"/>
      <c r="F304" s="81"/>
      <c r="G304" s="98"/>
      <c r="H304" s="98"/>
      <c r="I304" s="81"/>
      <c r="J304" s="81"/>
      <c r="K304" s="81"/>
    </row>
    <row r="305" spans="1:11" ht="12.75" customHeight="1">
      <c r="A305" s="81"/>
      <c r="B305" s="103"/>
      <c r="C305" s="81"/>
      <c r="D305" s="81"/>
      <c r="E305" s="81"/>
      <c r="F305" s="81"/>
      <c r="G305" s="98"/>
      <c r="H305" s="98"/>
      <c r="I305" s="81"/>
      <c r="J305" s="81"/>
      <c r="K305" s="81"/>
    </row>
    <row r="306" spans="1:11" ht="12.75" customHeight="1">
      <c r="A306" s="81"/>
      <c r="B306" s="103"/>
      <c r="C306" s="81"/>
      <c r="D306" s="81"/>
      <c r="E306" s="81"/>
      <c r="F306" s="81"/>
      <c r="G306" s="98"/>
      <c r="H306" s="98"/>
      <c r="I306" s="81"/>
      <c r="J306" s="81"/>
      <c r="K306" s="81"/>
    </row>
    <row r="307" spans="1:11" ht="12.75" customHeight="1">
      <c r="A307" s="81"/>
      <c r="B307" s="103"/>
      <c r="C307" s="81"/>
      <c r="D307" s="81"/>
      <c r="E307" s="81"/>
      <c r="F307" s="81"/>
      <c r="G307" s="98"/>
      <c r="H307" s="98"/>
      <c r="I307" s="81"/>
      <c r="J307" s="81"/>
      <c r="K307" s="81"/>
    </row>
    <row r="308" spans="1:11" ht="12.75" customHeight="1">
      <c r="A308" s="81"/>
      <c r="B308" s="103"/>
      <c r="C308" s="81"/>
      <c r="D308" s="81"/>
      <c r="E308" s="81"/>
      <c r="F308" s="81"/>
      <c r="G308" s="98"/>
      <c r="H308" s="98"/>
      <c r="I308" s="81"/>
      <c r="J308" s="81"/>
      <c r="K308" s="81"/>
    </row>
    <row r="309" spans="1:11" ht="12.75" customHeight="1">
      <c r="A309" s="81"/>
      <c r="B309" s="103"/>
      <c r="C309" s="81"/>
      <c r="D309" s="81"/>
      <c r="E309" s="81"/>
      <c r="F309" s="81"/>
      <c r="G309" s="98"/>
      <c r="H309" s="98"/>
      <c r="I309" s="81"/>
      <c r="J309" s="81"/>
      <c r="K309" s="81"/>
    </row>
    <row r="310" spans="1:11" ht="12.75" customHeight="1">
      <c r="A310" s="81"/>
      <c r="B310" s="103"/>
      <c r="C310" s="81"/>
      <c r="D310" s="81"/>
      <c r="E310" s="81"/>
      <c r="F310" s="81"/>
      <c r="G310" s="98"/>
      <c r="H310" s="98"/>
      <c r="I310" s="81"/>
      <c r="J310" s="81"/>
      <c r="K310" s="81"/>
    </row>
    <row r="311" spans="1:11" ht="12.75" customHeight="1">
      <c r="A311" s="81"/>
      <c r="B311" s="103"/>
      <c r="C311" s="81"/>
      <c r="D311" s="81"/>
      <c r="E311" s="81"/>
      <c r="F311" s="81"/>
      <c r="G311" s="98"/>
      <c r="H311" s="98"/>
      <c r="I311" s="81"/>
      <c r="J311" s="81"/>
      <c r="K311" s="81"/>
    </row>
    <row r="312" spans="1:11" ht="12.75" customHeight="1">
      <c r="A312" s="81"/>
      <c r="B312" s="103"/>
      <c r="C312" s="81"/>
      <c r="D312" s="81"/>
      <c r="E312" s="81"/>
      <c r="F312" s="81"/>
      <c r="G312" s="98"/>
      <c r="H312" s="98"/>
      <c r="I312" s="81"/>
      <c r="J312" s="81"/>
      <c r="K312" s="81"/>
    </row>
    <row r="313" spans="1:11" ht="12.75" customHeight="1">
      <c r="A313" s="81"/>
      <c r="B313" s="103"/>
      <c r="C313" s="81"/>
      <c r="D313" s="81"/>
      <c r="E313" s="81"/>
      <c r="F313" s="81"/>
      <c r="G313" s="98"/>
      <c r="H313" s="98"/>
      <c r="I313" s="81"/>
      <c r="J313" s="81"/>
      <c r="K313" s="81"/>
    </row>
    <row r="314" spans="1:11" ht="12.75" customHeight="1">
      <c r="A314" s="81"/>
      <c r="B314" s="103"/>
      <c r="C314" s="81"/>
      <c r="D314" s="81"/>
      <c r="E314" s="81"/>
      <c r="F314" s="81"/>
      <c r="G314" s="98"/>
      <c r="H314" s="98"/>
      <c r="I314" s="81"/>
      <c r="J314" s="81"/>
      <c r="K314" s="81"/>
    </row>
    <row r="315" spans="1:11" ht="12.75" customHeight="1">
      <c r="A315" s="81"/>
      <c r="B315" s="103"/>
      <c r="C315" s="81"/>
      <c r="D315" s="81"/>
      <c r="E315" s="81"/>
      <c r="F315" s="81"/>
      <c r="G315" s="98"/>
      <c r="H315" s="98"/>
      <c r="I315" s="81"/>
      <c r="J315" s="81"/>
      <c r="K315" s="81"/>
    </row>
    <row r="316" spans="1:11" ht="12.75" customHeight="1">
      <c r="A316" s="81"/>
      <c r="B316" s="103"/>
      <c r="C316" s="81"/>
      <c r="D316" s="81"/>
      <c r="E316" s="81"/>
      <c r="F316" s="81"/>
      <c r="G316" s="98"/>
      <c r="H316" s="98"/>
      <c r="I316" s="81"/>
      <c r="J316" s="81"/>
      <c r="K316" s="81"/>
    </row>
    <row r="317" spans="1:11" ht="12.75" customHeight="1">
      <c r="A317" s="81"/>
      <c r="B317" s="103"/>
      <c r="C317" s="81"/>
      <c r="D317" s="81"/>
      <c r="E317" s="81"/>
      <c r="F317" s="81"/>
      <c r="G317" s="98"/>
      <c r="H317" s="98"/>
      <c r="I317" s="81"/>
      <c r="J317" s="81"/>
      <c r="K317" s="81"/>
    </row>
    <row r="318" spans="1:11" ht="12.75" customHeight="1">
      <c r="A318" s="81"/>
      <c r="B318" s="103"/>
      <c r="C318" s="81"/>
      <c r="D318" s="81"/>
      <c r="E318" s="81"/>
      <c r="F318" s="81"/>
      <c r="G318" s="98"/>
      <c r="H318" s="98"/>
      <c r="I318" s="81"/>
      <c r="J318" s="81"/>
      <c r="K318" s="81"/>
    </row>
    <row r="319" spans="1:11" ht="12.75" customHeight="1">
      <c r="A319" s="81"/>
      <c r="B319" s="103"/>
      <c r="C319" s="81"/>
      <c r="D319" s="81"/>
      <c r="E319" s="81"/>
      <c r="F319" s="81"/>
      <c r="G319" s="98"/>
      <c r="H319" s="98"/>
      <c r="I319" s="81"/>
      <c r="J319" s="81"/>
      <c r="K319" s="81"/>
    </row>
    <row r="320" spans="1:11" ht="12.75" customHeight="1">
      <c r="A320" s="81"/>
      <c r="B320" s="103"/>
      <c r="C320" s="81"/>
      <c r="D320" s="81"/>
      <c r="E320" s="81"/>
      <c r="F320" s="81"/>
      <c r="G320" s="98"/>
      <c r="H320" s="98"/>
      <c r="I320" s="81"/>
      <c r="J320" s="81"/>
      <c r="K320" s="81"/>
    </row>
    <row r="321" spans="1:11" ht="12.75" customHeight="1">
      <c r="A321" s="81"/>
      <c r="B321" s="103"/>
      <c r="C321" s="81"/>
      <c r="D321" s="81"/>
      <c r="E321" s="81"/>
      <c r="F321" s="81"/>
      <c r="G321" s="98"/>
      <c r="H321" s="98"/>
      <c r="I321" s="81"/>
      <c r="J321" s="81"/>
      <c r="K321" s="81"/>
    </row>
    <row r="322" spans="1:11" ht="12.75" customHeight="1">
      <c r="A322" s="81"/>
      <c r="B322" s="103"/>
      <c r="C322" s="81"/>
      <c r="D322" s="81"/>
      <c r="E322" s="81"/>
      <c r="F322" s="81"/>
      <c r="G322" s="98"/>
      <c r="H322" s="98"/>
      <c r="I322" s="81"/>
      <c r="J322" s="81"/>
      <c r="K322" s="81"/>
    </row>
    <row r="323" spans="1:11" ht="12.75" customHeight="1">
      <c r="A323" s="81"/>
      <c r="B323" s="103"/>
      <c r="C323" s="81"/>
      <c r="D323" s="81"/>
      <c r="E323" s="81"/>
      <c r="F323" s="81"/>
      <c r="G323" s="98"/>
      <c r="H323" s="98"/>
      <c r="I323" s="81"/>
      <c r="J323" s="81"/>
      <c r="K323" s="81"/>
    </row>
    <row r="324" spans="1:11" ht="12.75" customHeight="1">
      <c r="A324" s="81"/>
      <c r="B324" s="103"/>
      <c r="C324" s="81"/>
      <c r="D324" s="81"/>
      <c r="E324" s="81"/>
      <c r="F324" s="81"/>
      <c r="G324" s="98"/>
      <c r="H324" s="98"/>
      <c r="I324" s="81"/>
      <c r="J324" s="81"/>
      <c r="K324" s="81"/>
    </row>
    <row r="325" spans="1:11" ht="12.75" customHeight="1">
      <c r="A325" s="81"/>
      <c r="B325" s="103"/>
      <c r="C325" s="81"/>
      <c r="D325" s="81"/>
      <c r="E325" s="81"/>
      <c r="F325" s="81"/>
      <c r="G325" s="98"/>
      <c r="H325" s="98"/>
      <c r="I325" s="81"/>
      <c r="J325" s="81"/>
      <c r="K325" s="81"/>
    </row>
    <row r="326" spans="1:11" ht="12.75" customHeight="1">
      <c r="A326" s="81"/>
      <c r="B326" s="103"/>
      <c r="C326" s="81"/>
      <c r="D326" s="81"/>
      <c r="E326" s="81"/>
      <c r="F326" s="81"/>
      <c r="G326" s="98"/>
      <c r="H326" s="98"/>
      <c r="I326" s="81"/>
      <c r="J326" s="81"/>
      <c r="K326" s="81"/>
    </row>
    <row r="327" spans="1:11" ht="12.75" customHeight="1">
      <c r="A327" s="81"/>
      <c r="B327" s="103"/>
      <c r="C327" s="81"/>
      <c r="D327" s="81"/>
      <c r="E327" s="81"/>
      <c r="F327" s="81"/>
      <c r="G327" s="98"/>
      <c r="H327" s="98"/>
      <c r="I327" s="81"/>
      <c r="J327" s="81"/>
      <c r="K327" s="81"/>
    </row>
    <row r="328" spans="1:11" ht="12.75" customHeight="1">
      <c r="A328" s="81"/>
      <c r="B328" s="103"/>
      <c r="C328" s="81"/>
      <c r="D328" s="81"/>
      <c r="E328" s="81"/>
      <c r="F328" s="81"/>
      <c r="G328" s="98"/>
      <c r="H328" s="98"/>
      <c r="I328" s="81"/>
      <c r="J328" s="81"/>
      <c r="K328" s="81"/>
    </row>
    <row r="329" spans="1:11" ht="12.75" customHeight="1">
      <c r="A329" s="81"/>
      <c r="B329" s="103"/>
      <c r="C329" s="81"/>
      <c r="D329" s="81"/>
      <c r="E329" s="81"/>
      <c r="F329" s="81"/>
      <c r="G329" s="98"/>
      <c r="H329" s="98"/>
      <c r="I329" s="81"/>
      <c r="J329" s="81"/>
      <c r="K329" s="81"/>
    </row>
    <row r="330" spans="1:11" ht="12.75" customHeight="1">
      <c r="A330" s="81"/>
      <c r="B330" s="103"/>
      <c r="C330" s="81"/>
      <c r="D330" s="81"/>
      <c r="E330" s="81"/>
      <c r="F330" s="81"/>
      <c r="G330" s="98"/>
      <c r="H330" s="98"/>
      <c r="I330" s="81"/>
      <c r="J330" s="81"/>
      <c r="K330" s="81"/>
    </row>
    <row r="331" spans="1:11" ht="12.75" customHeight="1">
      <c r="A331" s="81"/>
      <c r="B331" s="103"/>
      <c r="C331" s="81"/>
      <c r="D331" s="81"/>
      <c r="E331" s="81"/>
      <c r="F331" s="81"/>
      <c r="G331" s="98"/>
      <c r="H331" s="98"/>
      <c r="I331" s="81"/>
      <c r="J331" s="81"/>
      <c r="K331" s="81"/>
    </row>
    <row r="332" spans="1:11" ht="12.75" customHeight="1">
      <c r="A332" s="81"/>
      <c r="B332" s="103"/>
      <c r="C332" s="81"/>
      <c r="D332" s="81"/>
      <c r="E332" s="81"/>
      <c r="F332" s="81"/>
      <c r="G332" s="98"/>
      <c r="H332" s="98"/>
      <c r="I332" s="81"/>
      <c r="J332" s="81"/>
      <c r="K332" s="81"/>
    </row>
    <row r="333" spans="1:11" ht="12.75" customHeight="1">
      <c r="A333" s="81"/>
      <c r="B333" s="103"/>
      <c r="C333" s="81"/>
      <c r="D333" s="81"/>
      <c r="E333" s="81"/>
      <c r="F333" s="81"/>
      <c r="G333" s="98"/>
      <c r="H333" s="98"/>
      <c r="I333" s="81"/>
      <c r="J333" s="81"/>
      <c r="K333" s="81"/>
    </row>
    <row r="334" spans="1:11" ht="12.75" customHeight="1">
      <c r="A334" s="81"/>
      <c r="B334" s="103"/>
      <c r="C334" s="81"/>
      <c r="D334" s="81"/>
      <c r="E334" s="81"/>
      <c r="F334" s="81"/>
      <c r="G334" s="98"/>
      <c r="H334" s="98"/>
      <c r="I334" s="81"/>
      <c r="J334" s="81"/>
      <c r="K334" s="81"/>
    </row>
    <row r="335" spans="1:11" ht="12.75" customHeight="1">
      <c r="A335" s="81"/>
      <c r="B335" s="103"/>
      <c r="C335" s="81"/>
      <c r="D335" s="81"/>
      <c r="E335" s="81"/>
      <c r="F335" s="81"/>
      <c r="G335" s="98"/>
      <c r="H335" s="98"/>
      <c r="I335" s="81"/>
      <c r="J335" s="81"/>
      <c r="K335" s="81"/>
    </row>
    <row r="336" spans="1:11" ht="12.75" customHeight="1">
      <c r="A336" s="81"/>
      <c r="B336" s="103"/>
      <c r="C336" s="81"/>
      <c r="D336" s="81"/>
      <c r="E336" s="81"/>
      <c r="F336" s="81"/>
      <c r="G336" s="98"/>
      <c r="H336" s="98"/>
      <c r="I336" s="81"/>
      <c r="J336" s="81"/>
      <c r="K336" s="81"/>
    </row>
    <row r="337" spans="1:11" ht="12.75" customHeight="1">
      <c r="A337" s="81"/>
      <c r="B337" s="103"/>
      <c r="C337" s="81"/>
      <c r="D337" s="81"/>
      <c r="E337" s="81"/>
      <c r="F337" s="81"/>
      <c r="G337" s="98"/>
      <c r="H337" s="98"/>
      <c r="I337" s="81"/>
      <c r="J337" s="81"/>
      <c r="K337" s="81"/>
    </row>
    <row r="338" spans="1:11" ht="12.75" customHeight="1">
      <c r="A338" s="81"/>
      <c r="B338" s="103"/>
      <c r="C338" s="81"/>
      <c r="D338" s="81"/>
      <c r="E338" s="81"/>
      <c r="F338" s="81"/>
      <c r="G338" s="98"/>
      <c r="H338" s="98"/>
      <c r="I338" s="81"/>
      <c r="J338" s="81"/>
      <c r="K338" s="81"/>
    </row>
    <row r="339" spans="1:11" ht="12.75" customHeight="1">
      <c r="A339" s="81"/>
      <c r="B339" s="103"/>
      <c r="C339" s="81"/>
      <c r="D339" s="81"/>
      <c r="E339" s="81"/>
      <c r="F339" s="81"/>
      <c r="G339" s="98"/>
      <c r="H339" s="98"/>
      <c r="I339" s="81"/>
      <c r="J339" s="81"/>
      <c r="K339" s="81"/>
    </row>
    <row r="340" spans="1:11" ht="12.75" customHeight="1">
      <c r="A340" s="81"/>
      <c r="B340" s="103"/>
      <c r="C340" s="81"/>
      <c r="D340" s="81"/>
      <c r="E340" s="81"/>
      <c r="F340" s="81"/>
      <c r="G340" s="98"/>
      <c r="H340" s="98"/>
      <c r="I340" s="81"/>
      <c r="J340" s="81"/>
      <c r="K340" s="81"/>
    </row>
    <row r="341" spans="1:11" ht="12.75" customHeight="1">
      <c r="A341" s="81"/>
      <c r="B341" s="103"/>
      <c r="C341" s="81"/>
      <c r="D341" s="81"/>
      <c r="E341" s="81"/>
      <c r="F341" s="81"/>
      <c r="G341" s="98"/>
      <c r="H341" s="98"/>
      <c r="I341" s="81"/>
      <c r="J341" s="81"/>
      <c r="K341" s="81"/>
    </row>
    <row r="342" spans="1:11" ht="12.75" customHeight="1">
      <c r="A342" s="81"/>
      <c r="B342" s="103"/>
      <c r="C342" s="81"/>
      <c r="D342" s="81"/>
      <c r="E342" s="81"/>
      <c r="F342" s="81"/>
      <c r="G342" s="98"/>
      <c r="H342" s="98"/>
      <c r="I342" s="81"/>
      <c r="J342" s="81"/>
      <c r="K342" s="81"/>
    </row>
    <row r="343" spans="1:11" ht="12.75" customHeight="1">
      <c r="A343" s="81"/>
      <c r="B343" s="103"/>
      <c r="C343" s="81"/>
      <c r="D343" s="81"/>
      <c r="E343" s="81"/>
      <c r="F343" s="81"/>
      <c r="G343" s="98"/>
      <c r="H343" s="98"/>
      <c r="I343" s="81"/>
      <c r="J343" s="81"/>
      <c r="K343" s="81"/>
    </row>
  </sheetData>
  <mergeCells count="27">
    <mergeCell ref="A3:I3"/>
    <mergeCell ref="D5:I5"/>
    <mergeCell ref="D173:D174"/>
    <mergeCell ref="E173:E174"/>
    <mergeCell ref="F173:F174"/>
    <mergeCell ref="G173:G174"/>
    <mergeCell ref="H173:H174"/>
    <mergeCell ref="C131:I131"/>
    <mergeCell ref="H88:I88"/>
    <mergeCell ref="H46:I46"/>
    <mergeCell ref="H4:I4"/>
    <mergeCell ref="I215:I216"/>
    <mergeCell ref="C5:C6"/>
    <mergeCell ref="C89:I89"/>
    <mergeCell ref="H214:I214"/>
    <mergeCell ref="H130:I130"/>
    <mergeCell ref="C47:I47"/>
    <mergeCell ref="H1:I1"/>
    <mergeCell ref="A215:B216"/>
    <mergeCell ref="A89:B90"/>
    <mergeCell ref="A131:B132"/>
    <mergeCell ref="A173:B174"/>
    <mergeCell ref="A2:I2"/>
    <mergeCell ref="C215:C216"/>
    <mergeCell ref="H172:I172"/>
    <mergeCell ref="A5:B6"/>
    <mergeCell ref="A47:B48"/>
  </mergeCells>
  <printOptions horizontalCentered="1"/>
  <pageMargins left="0.7874015748031497" right="0.7874015748031497" top="0.4724409448818898" bottom="0.35433070866141736" header="0.2362204724409449" footer="0.35433070866141736"/>
  <pageSetup horizontalDpi="600" verticalDpi="600" orientation="landscape" paperSize="9" scale="93" r:id="rId1"/>
  <rowBreaks count="5" manualBreakCount="5">
    <brk id="44" max="8" man="1"/>
    <brk id="86" max="8" man="1"/>
    <brk id="128" max="8" man="1"/>
    <brk id="170" max="8" man="1"/>
    <brk id="212" max="8" man="1"/>
  </rowBreaks>
</worksheet>
</file>

<file path=xl/worksheets/sheet8.xml><?xml version="1.0" encoding="utf-8"?>
<worksheet xmlns="http://schemas.openxmlformats.org/spreadsheetml/2006/main" xmlns:r="http://schemas.openxmlformats.org/officeDocument/2006/relationships">
  <sheetPr>
    <tabColor indexed="43"/>
  </sheetPr>
  <dimension ref="A1:P53"/>
  <sheetViews>
    <sheetView workbookViewId="0" topLeftCell="A9">
      <selection activeCell="A8" sqref="A1:IV16384"/>
    </sheetView>
  </sheetViews>
  <sheetFormatPr defaultColWidth="9.140625" defaultRowHeight="12.75"/>
  <cols>
    <col min="1" max="1" width="56.57421875" style="709" customWidth="1"/>
    <col min="2" max="2" width="11.421875" style="710" customWidth="1"/>
    <col min="3" max="3" width="10.8515625" style="710" customWidth="1"/>
    <col min="4" max="8" width="9.57421875" style="710" customWidth="1"/>
    <col min="9" max="16384" width="8.00390625" style="710" customWidth="1"/>
  </cols>
  <sheetData>
    <row r="1" spans="7:8" s="707" customFormat="1" ht="15.75">
      <c r="G1" s="1566" t="s">
        <v>561</v>
      </c>
      <c r="H1" s="1566"/>
    </row>
    <row r="2" spans="7:8" s="707" customFormat="1" ht="15.75">
      <c r="G2" s="1008"/>
      <c r="H2" s="1008"/>
    </row>
    <row r="3" spans="1:16" s="707" customFormat="1" ht="21" customHeight="1">
      <c r="A3" s="1569" t="s">
        <v>111</v>
      </c>
      <c r="B3" s="1569"/>
      <c r="C3" s="1569"/>
      <c r="D3" s="1569"/>
      <c r="E3" s="1569"/>
      <c r="F3" s="1569"/>
      <c r="G3" s="1569"/>
      <c r="H3" s="1569"/>
      <c r="I3" s="708"/>
      <c r="J3" s="708"/>
      <c r="K3" s="708"/>
      <c r="L3" s="708"/>
      <c r="M3" s="708"/>
      <c r="N3" s="708"/>
      <c r="O3" s="708"/>
      <c r="P3" s="708"/>
    </row>
    <row r="4" spans="1:16" s="707" customFormat="1" ht="21" customHeight="1">
      <c r="A4" s="1569" t="s">
        <v>1178</v>
      </c>
      <c r="B4" s="1569"/>
      <c r="C4" s="1569"/>
      <c r="D4" s="1569"/>
      <c r="E4" s="1569"/>
      <c r="F4" s="1569"/>
      <c r="G4" s="1569"/>
      <c r="H4" s="1569"/>
      <c r="I4" s="708"/>
      <c r="J4" s="708"/>
      <c r="K4" s="708"/>
      <c r="L4" s="708"/>
      <c r="M4" s="708"/>
      <c r="N4" s="708"/>
      <c r="O4" s="708"/>
      <c r="P4" s="708"/>
    </row>
    <row r="5" spans="1:16" s="707" customFormat="1" ht="21" customHeight="1">
      <c r="A5" s="1009"/>
      <c r="B5" s="1009"/>
      <c r="C5" s="1009"/>
      <c r="D5" s="1009"/>
      <c r="E5" s="1009"/>
      <c r="F5" s="1009"/>
      <c r="G5" s="1009"/>
      <c r="H5" s="1009"/>
      <c r="I5" s="708"/>
      <c r="J5" s="708"/>
      <c r="K5" s="708"/>
      <c r="L5" s="708"/>
      <c r="M5" s="708"/>
      <c r="N5" s="708"/>
      <c r="O5" s="708"/>
      <c r="P5" s="708"/>
    </row>
    <row r="6" spans="1:16" s="707" customFormat="1" ht="21" customHeight="1">
      <c r="A6" s="1009"/>
      <c r="B6" s="1009"/>
      <c r="C6" s="1009"/>
      <c r="D6" s="1009"/>
      <c r="E6" s="1009"/>
      <c r="F6" s="1009"/>
      <c r="G6" s="1009"/>
      <c r="H6" s="1009"/>
      <c r="I6" s="708"/>
      <c r="J6" s="708"/>
      <c r="K6" s="708"/>
      <c r="L6" s="708"/>
      <c r="M6" s="708"/>
      <c r="N6" s="708"/>
      <c r="O6" s="708"/>
      <c r="P6" s="708"/>
    </row>
    <row r="7" spans="7:9" ht="16.5" customHeight="1">
      <c r="G7" s="1575" t="s">
        <v>384</v>
      </c>
      <c r="H7" s="1575"/>
      <c r="I7" s="711"/>
    </row>
    <row r="8" spans="1:8" ht="21" customHeight="1">
      <c r="A8" s="1567" t="s">
        <v>632</v>
      </c>
      <c r="B8" s="1572" t="s">
        <v>1418</v>
      </c>
      <c r="C8" s="1573"/>
      <c r="D8" s="1573"/>
      <c r="E8" s="1572" t="s">
        <v>93</v>
      </c>
      <c r="F8" s="1573"/>
      <c r="G8" s="1574"/>
      <c r="H8" s="1570" t="s">
        <v>166</v>
      </c>
    </row>
    <row r="9" spans="1:8" ht="45.75" customHeight="1">
      <c r="A9" s="1568"/>
      <c r="B9" s="1064" t="s">
        <v>555</v>
      </c>
      <c r="C9" s="1064" t="s">
        <v>552</v>
      </c>
      <c r="D9" s="1064" t="s">
        <v>551</v>
      </c>
      <c r="E9" s="1064" t="s">
        <v>556</v>
      </c>
      <c r="F9" s="1064" t="s">
        <v>550</v>
      </c>
      <c r="G9" s="1065" t="s">
        <v>95</v>
      </c>
      <c r="H9" s="1571"/>
    </row>
    <row r="10" spans="1:8" ht="18.75" customHeight="1">
      <c r="A10" s="1563" t="s">
        <v>355</v>
      </c>
      <c r="B10" s="1564"/>
      <c r="C10" s="1564"/>
      <c r="D10" s="1564"/>
      <c r="E10" s="1564"/>
      <c r="F10" s="1564"/>
      <c r="G10" s="1564"/>
      <c r="H10" s="1565"/>
    </row>
    <row r="11" spans="1:8" ht="15.75">
      <c r="A11" s="712" t="s">
        <v>1419</v>
      </c>
      <c r="B11" s="714"/>
      <c r="C11" s="714"/>
      <c r="D11" s="714"/>
      <c r="E11" s="714"/>
      <c r="F11" s="714"/>
      <c r="G11" s="726">
        <v>3300</v>
      </c>
      <c r="H11" s="729">
        <f aca="true" t="shared" si="0" ref="H11:H44">SUM(B11:G11)</f>
        <v>3300</v>
      </c>
    </row>
    <row r="12" spans="1:8" ht="15.75">
      <c r="A12" s="713" t="s">
        <v>953</v>
      </c>
      <c r="B12" s="714"/>
      <c r="C12" s="714"/>
      <c r="D12" s="714"/>
      <c r="E12" s="714"/>
      <c r="F12" s="714"/>
      <c r="G12" s="726"/>
      <c r="H12" s="729">
        <f t="shared" si="0"/>
        <v>0</v>
      </c>
    </row>
    <row r="13" spans="1:8" ht="31.5">
      <c r="A13" s="715" t="s">
        <v>125</v>
      </c>
      <c r="B13" s="714"/>
      <c r="C13" s="714"/>
      <c r="D13" s="714"/>
      <c r="E13" s="714">
        <v>1000</v>
      </c>
      <c r="F13" s="714">
        <v>1000</v>
      </c>
      <c r="G13" s="726"/>
      <c r="H13" s="729">
        <f t="shared" si="0"/>
        <v>2000</v>
      </c>
    </row>
    <row r="14" spans="1:8" ht="15.75">
      <c r="A14" s="716" t="s">
        <v>955</v>
      </c>
      <c r="B14" s="714">
        <v>286</v>
      </c>
      <c r="C14" s="714"/>
      <c r="D14" s="714"/>
      <c r="E14" s="714">
        <v>1000</v>
      </c>
      <c r="F14" s="714"/>
      <c r="G14" s="726"/>
      <c r="H14" s="729">
        <f t="shared" si="0"/>
        <v>1286</v>
      </c>
    </row>
    <row r="15" spans="1:8" ht="15.75">
      <c r="A15" s="717" t="s">
        <v>84</v>
      </c>
      <c r="B15" s="714"/>
      <c r="C15" s="714">
        <v>605</v>
      </c>
      <c r="D15" s="714"/>
      <c r="E15" s="714"/>
      <c r="F15" s="714"/>
      <c r="G15" s="726">
        <v>332</v>
      </c>
      <c r="H15" s="729">
        <f t="shared" si="0"/>
        <v>937</v>
      </c>
    </row>
    <row r="16" spans="1:8" ht="15.75">
      <c r="A16" s="713" t="s">
        <v>1352</v>
      </c>
      <c r="B16" s="714">
        <v>238</v>
      </c>
      <c r="C16" s="714"/>
      <c r="D16" s="714"/>
      <c r="E16" s="714"/>
      <c r="F16" s="714"/>
      <c r="G16" s="726"/>
      <c r="H16" s="729">
        <f t="shared" si="0"/>
        <v>238</v>
      </c>
    </row>
    <row r="17" spans="1:8" ht="15.75">
      <c r="A17" s="713" t="s">
        <v>1353</v>
      </c>
      <c r="B17" s="714"/>
      <c r="C17" s="714">
        <v>311</v>
      </c>
      <c r="D17" s="714"/>
      <c r="E17" s="714"/>
      <c r="F17" s="714"/>
      <c r="G17" s="726"/>
      <c r="H17" s="729">
        <f t="shared" si="0"/>
        <v>311</v>
      </c>
    </row>
    <row r="18" spans="1:8" ht="31.5">
      <c r="A18" s="716" t="s">
        <v>553</v>
      </c>
      <c r="B18" s="714"/>
      <c r="C18" s="714"/>
      <c r="D18" s="714"/>
      <c r="E18" s="714"/>
      <c r="F18" s="714"/>
      <c r="G18" s="726"/>
      <c r="H18" s="729">
        <f t="shared" si="0"/>
        <v>0</v>
      </c>
    </row>
    <row r="19" spans="1:8" ht="15.75">
      <c r="A19" s="713" t="s">
        <v>1354</v>
      </c>
      <c r="B19" s="714"/>
      <c r="C19" s="714"/>
      <c r="D19" s="714"/>
      <c r="E19" s="714"/>
      <c r="F19" s="714"/>
      <c r="G19" s="726"/>
      <c r="H19" s="729">
        <f t="shared" si="0"/>
        <v>0</v>
      </c>
    </row>
    <row r="20" spans="1:8" ht="15.75">
      <c r="A20" s="713" t="s">
        <v>559</v>
      </c>
      <c r="B20" s="714"/>
      <c r="C20" s="714"/>
      <c r="D20" s="714"/>
      <c r="E20" s="714"/>
      <c r="F20" s="714"/>
      <c r="G20" s="726"/>
      <c r="H20" s="729">
        <f t="shared" si="0"/>
        <v>0</v>
      </c>
    </row>
    <row r="21" spans="1:8" ht="31.5">
      <c r="A21" s="715" t="s">
        <v>1542</v>
      </c>
      <c r="B21" s="714">
        <v>708</v>
      </c>
      <c r="C21" s="714">
        <v>2033</v>
      </c>
      <c r="D21" s="714"/>
      <c r="E21" s="714">
        <v>1800</v>
      </c>
      <c r="F21" s="714">
        <f>800+800</f>
        <v>1600</v>
      </c>
      <c r="G21" s="726">
        <f>1822</f>
        <v>1822</v>
      </c>
      <c r="H21" s="729">
        <f t="shared" si="0"/>
        <v>7963</v>
      </c>
    </row>
    <row r="22" spans="1:8" ht="15.75">
      <c r="A22" s="715" t="s">
        <v>956</v>
      </c>
      <c r="B22" s="714"/>
      <c r="C22" s="714"/>
      <c r="D22" s="714"/>
      <c r="E22" s="714"/>
      <c r="F22" s="714"/>
      <c r="G22" s="726"/>
      <c r="H22" s="729">
        <f t="shared" si="0"/>
        <v>0</v>
      </c>
    </row>
    <row r="23" spans="1:8" ht="31.5">
      <c r="A23" s="718" t="s">
        <v>1543</v>
      </c>
      <c r="B23" s="714">
        <v>362</v>
      </c>
      <c r="C23" s="714">
        <v>1409</v>
      </c>
      <c r="D23" s="714"/>
      <c r="E23" s="714"/>
      <c r="F23" s="714">
        <f>100+630+300+80</f>
        <v>1110</v>
      </c>
      <c r="G23" s="726"/>
      <c r="H23" s="729">
        <f t="shared" si="0"/>
        <v>2881</v>
      </c>
    </row>
    <row r="24" spans="1:8" ht="31.5">
      <c r="A24" s="715" t="s">
        <v>1544</v>
      </c>
      <c r="B24" s="714"/>
      <c r="C24" s="714"/>
      <c r="D24" s="714"/>
      <c r="E24" s="714">
        <v>1000</v>
      </c>
      <c r="F24" s="714">
        <v>1000</v>
      </c>
      <c r="G24" s="726"/>
      <c r="H24" s="729">
        <f t="shared" si="0"/>
        <v>2000</v>
      </c>
    </row>
    <row r="25" spans="1:8" ht="15.75">
      <c r="A25" s="713" t="s">
        <v>61</v>
      </c>
      <c r="B25" s="714">
        <v>338</v>
      </c>
      <c r="C25" s="714"/>
      <c r="D25" s="714"/>
      <c r="E25" s="714"/>
      <c r="F25" s="714">
        <v>600</v>
      </c>
      <c r="G25" s="726"/>
      <c r="H25" s="729">
        <f t="shared" si="0"/>
        <v>938</v>
      </c>
    </row>
    <row r="26" spans="1:8" ht="15.75">
      <c r="A26" s="713" t="s">
        <v>62</v>
      </c>
      <c r="B26" s="714"/>
      <c r="C26" s="714">
        <v>1125</v>
      </c>
      <c r="D26" s="714"/>
      <c r="E26" s="714"/>
      <c r="F26" s="714"/>
      <c r="G26" s="726"/>
      <c r="H26" s="729">
        <f t="shared" si="0"/>
        <v>1125</v>
      </c>
    </row>
    <row r="27" spans="1:8" ht="15.75">
      <c r="A27" s="713" t="s">
        <v>63</v>
      </c>
      <c r="B27" s="714"/>
      <c r="C27" s="714">
        <f>2013+3155+735</f>
        <v>5903</v>
      </c>
      <c r="D27" s="714"/>
      <c r="E27" s="714"/>
      <c r="F27" s="714"/>
      <c r="G27" s="726"/>
      <c r="H27" s="729">
        <f t="shared" si="0"/>
        <v>5903</v>
      </c>
    </row>
    <row r="28" spans="1:8" ht="15.75">
      <c r="A28" s="715" t="s">
        <v>1483</v>
      </c>
      <c r="B28" s="714"/>
      <c r="C28" s="714">
        <v>2890</v>
      </c>
      <c r="D28" s="714"/>
      <c r="E28" s="714"/>
      <c r="F28" s="714"/>
      <c r="G28" s="726"/>
      <c r="H28" s="729">
        <f t="shared" si="0"/>
        <v>2890</v>
      </c>
    </row>
    <row r="29" spans="1:8" ht="15.75">
      <c r="A29" s="718" t="s">
        <v>1412</v>
      </c>
      <c r="B29" s="714">
        <v>264</v>
      </c>
      <c r="C29" s="714">
        <v>5060</v>
      </c>
      <c r="D29" s="714">
        <v>5390</v>
      </c>
      <c r="E29" s="714">
        <v>1000</v>
      </c>
      <c r="F29" s="714"/>
      <c r="G29" s="726"/>
      <c r="H29" s="729">
        <f t="shared" si="0"/>
        <v>11714</v>
      </c>
    </row>
    <row r="30" spans="1:8" ht="31.5">
      <c r="A30" s="719" t="s">
        <v>1340</v>
      </c>
      <c r="B30" s="714"/>
      <c r="C30" s="714"/>
      <c r="D30" s="714"/>
      <c r="E30" s="714"/>
      <c r="F30" s="714"/>
      <c r="G30" s="726"/>
      <c r="H30" s="729">
        <f t="shared" si="0"/>
        <v>0</v>
      </c>
    </row>
    <row r="31" spans="1:8" ht="31.5">
      <c r="A31" s="716" t="s">
        <v>558</v>
      </c>
      <c r="B31" s="714"/>
      <c r="C31" s="714">
        <v>219</v>
      </c>
      <c r="D31" s="714">
        <v>11332</v>
      </c>
      <c r="E31" s="714"/>
      <c r="F31" s="714"/>
      <c r="G31" s="726"/>
      <c r="H31" s="729">
        <f t="shared" si="0"/>
        <v>11551</v>
      </c>
    </row>
    <row r="32" spans="1:8" ht="15.75">
      <c r="A32" s="713" t="s">
        <v>554</v>
      </c>
      <c r="B32" s="714"/>
      <c r="C32" s="714"/>
      <c r="D32" s="714"/>
      <c r="E32" s="714"/>
      <c r="F32" s="714"/>
      <c r="G32" s="726">
        <v>2000</v>
      </c>
      <c r="H32" s="729">
        <f t="shared" si="0"/>
        <v>2000</v>
      </c>
    </row>
    <row r="33" spans="1:8" ht="15.75">
      <c r="A33" s="713" t="s">
        <v>1486</v>
      </c>
      <c r="B33" s="714"/>
      <c r="C33" s="714">
        <v>7656</v>
      </c>
      <c r="D33" s="714"/>
      <c r="E33" s="714"/>
      <c r="F33" s="714"/>
      <c r="G33" s="726"/>
      <c r="H33" s="729">
        <f t="shared" si="0"/>
        <v>7656</v>
      </c>
    </row>
    <row r="34" spans="1:8" ht="31.5">
      <c r="A34" s="715" t="s">
        <v>126</v>
      </c>
      <c r="B34" s="714">
        <v>1300</v>
      </c>
      <c r="C34" s="714"/>
      <c r="D34" s="714"/>
      <c r="E34" s="714"/>
      <c r="F34" s="714"/>
      <c r="G34" s="726">
        <f>293+600</f>
        <v>893</v>
      </c>
      <c r="H34" s="729">
        <f t="shared" si="0"/>
        <v>2193</v>
      </c>
    </row>
    <row r="35" spans="1:8" ht="15.75">
      <c r="A35" s="718" t="s">
        <v>451</v>
      </c>
      <c r="B35" s="714">
        <v>412</v>
      </c>
      <c r="C35" s="714">
        <v>4243</v>
      </c>
      <c r="D35" s="714"/>
      <c r="E35" s="714"/>
      <c r="F35" s="714"/>
      <c r="G35" s="726"/>
      <c r="H35" s="729">
        <f t="shared" si="0"/>
        <v>4655</v>
      </c>
    </row>
    <row r="36" spans="1:8" ht="15.75">
      <c r="A36" s="713" t="s">
        <v>983</v>
      </c>
      <c r="B36" s="714">
        <v>956</v>
      </c>
      <c r="C36" s="714">
        <v>1979</v>
      </c>
      <c r="D36" s="714"/>
      <c r="E36" s="714"/>
      <c r="F36" s="714"/>
      <c r="G36" s="726"/>
      <c r="H36" s="729">
        <f t="shared" si="0"/>
        <v>2935</v>
      </c>
    </row>
    <row r="37" spans="1:8" ht="15.75">
      <c r="A37" s="713" t="s">
        <v>64</v>
      </c>
      <c r="B37" s="714"/>
      <c r="C37" s="714">
        <v>2996</v>
      </c>
      <c r="D37" s="714"/>
      <c r="E37" s="714"/>
      <c r="F37" s="714"/>
      <c r="G37" s="726"/>
      <c r="H37" s="729">
        <f t="shared" si="0"/>
        <v>2996</v>
      </c>
    </row>
    <row r="38" spans="1:8" ht="15.75">
      <c r="A38" s="720" t="s">
        <v>1304</v>
      </c>
      <c r="B38" s="714"/>
      <c r="C38" s="714"/>
      <c r="D38" s="714"/>
      <c r="E38" s="714"/>
      <c r="F38" s="714"/>
      <c r="G38" s="726"/>
      <c r="H38" s="729">
        <f t="shared" si="0"/>
        <v>0</v>
      </c>
    </row>
    <row r="39" spans="1:8" ht="15.75">
      <c r="A39" s="713" t="s">
        <v>1</v>
      </c>
      <c r="B39" s="714"/>
      <c r="C39" s="714">
        <v>1216</v>
      </c>
      <c r="D39" s="714"/>
      <c r="E39" s="714"/>
      <c r="F39" s="714"/>
      <c r="G39" s="726"/>
      <c r="H39" s="729">
        <f t="shared" si="0"/>
        <v>1216</v>
      </c>
    </row>
    <row r="40" spans="1:8" ht="31.5">
      <c r="A40" s="721" t="s">
        <v>2</v>
      </c>
      <c r="B40" s="714"/>
      <c r="C40" s="714">
        <v>2236</v>
      </c>
      <c r="D40" s="714"/>
      <c r="E40" s="714"/>
      <c r="F40" s="714"/>
      <c r="G40" s="726">
        <v>3000</v>
      </c>
      <c r="H40" s="729">
        <f t="shared" si="0"/>
        <v>5236</v>
      </c>
    </row>
    <row r="41" spans="1:8" ht="31.5">
      <c r="A41" s="715" t="s">
        <v>907</v>
      </c>
      <c r="B41" s="714"/>
      <c r="C41" s="714"/>
      <c r="D41" s="714"/>
      <c r="E41" s="714"/>
      <c r="F41" s="714"/>
      <c r="G41" s="726">
        <v>800</v>
      </c>
      <c r="H41" s="729">
        <f t="shared" si="0"/>
        <v>800</v>
      </c>
    </row>
    <row r="42" spans="1:8" ht="15.75">
      <c r="A42" s="713" t="s">
        <v>65</v>
      </c>
      <c r="B42" s="714"/>
      <c r="C42" s="714"/>
      <c r="D42" s="714"/>
      <c r="E42" s="714"/>
      <c r="F42" s="714"/>
      <c r="G42" s="726"/>
      <c r="H42" s="729">
        <f t="shared" si="0"/>
        <v>0</v>
      </c>
    </row>
    <row r="43" spans="1:8" ht="15.75">
      <c r="A43" s="713" t="s">
        <v>557</v>
      </c>
      <c r="B43" s="714"/>
      <c r="C43" s="714"/>
      <c r="D43" s="714"/>
      <c r="E43" s="714"/>
      <c r="F43" s="714"/>
      <c r="G43" s="726"/>
      <c r="H43" s="729">
        <f t="shared" si="0"/>
        <v>0</v>
      </c>
    </row>
    <row r="44" spans="1:8" ht="15.75">
      <c r="A44" s="722" t="s">
        <v>560</v>
      </c>
      <c r="B44" s="723"/>
      <c r="C44" s="723"/>
      <c r="D44" s="723"/>
      <c r="E44" s="723"/>
      <c r="F44" s="723"/>
      <c r="G44" s="727"/>
      <c r="H44" s="730">
        <f t="shared" si="0"/>
        <v>0</v>
      </c>
    </row>
    <row r="45" spans="1:9" ht="21.75" customHeight="1">
      <c r="A45" s="725" t="s">
        <v>1093</v>
      </c>
      <c r="B45" s="724">
        <f>SUM(B11:B44)</f>
        <v>4864</v>
      </c>
      <c r="C45" s="724">
        <f>SUM(C11:C44)</f>
        <v>39881</v>
      </c>
      <c r="D45" s="724">
        <f aca="true" t="shared" si="1" ref="D45:I45">SUM(D11:D44)</f>
        <v>16722</v>
      </c>
      <c r="E45" s="724">
        <f>SUM(E11:E44)</f>
        <v>5800</v>
      </c>
      <c r="F45" s="724">
        <f>SUM(F11:F44)</f>
        <v>5310</v>
      </c>
      <c r="G45" s="728">
        <f t="shared" si="1"/>
        <v>12147</v>
      </c>
      <c r="H45" s="731">
        <f t="shared" si="1"/>
        <v>84724</v>
      </c>
      <c r="I45" s="710">
        <f t="shared" si="1"/>
        <v>0</v>
      </c>
    </row>
    <row r="46" spans="1:8" ht="19.5" customHeight="1">
      <c r="A46" s="977" t="s">
        <v>1092</v>
      </c>
      <c r="B46" s="973"/>
      <c r="C46" s="973"/>
      <c r="D46" s="973"/>
      <c r="E46" s="973"/>
      <c r="F46" s="973"/>
      <c r="G46" s="973"/>
      <c r="H46" s="974"/>
    </row>
    <row r="47" spans="1:8" ht="20.25" customHeight="1">
      <c r="A47" s="978" t="s">
        <v>1087</v>
      </c>
      <c r="B47" s="975"/>
      <c r="C47" s="975"/>
      <c r="D47" s="975"/>
      <c r="E47" s="975"/>
      <c r="F47" s="975"/>
      <c r="G47" s="975"/>
      <c r="H47" s="976">
        <v>50000</v>
      </c>
    </row>
    <row r="48" spans="1:8" ht="20.25" customHeight="1">
      <c r="A48" s="978" t="s">
        <v>233</v>
      </c>
      <c r="B48" s="975"/>
      <c r="C48" s="975"/>
      <c r="D48" s="975"/>
      <c r="E48" s="975"/>
      <c r="F48" s="975"/>
      <c r="G48" s="975"/>
      <c r="H48" s="976">
        <v>100000</v>
      </c>
    </row>
    <row r="49" spans="1:8" ht="20.25" customHeight="1">
      <c r="A49" s="978" t="s">
        <v>1088</v>
      </c>
      <c r="B49" s="975"/>
      <c r="C49" s="975"/>
      <c r="D49" s="975"/>
      <c r="E49" s="975"/>
      <c r="F49" s="975"/>
      <c r="G49" s="975"/>
      <c r="H49" s="976">
        <v>30000</v>
      </c>
    </row>
    <row r="50" spans="1:8" ht="20.25" customHeight="1">
      <c r="A50" s="978" t="s">
        <v>1090</v>
      </c>
      <c r="B50" s="975"/>
      <c r="C50" s="975"/>
      <c r="D50" s="975"/>
      <c r="E50" s="975"/>
      <c r="F50" s="975"/>
      <c r="G50" s="975"/>
      <c r="H50" s="976">
        <v>40000</v>
      </c>
    </row>
    <row r="51" spans="1:8" ht="20.25" customHeight="1">
      <c r="A51" s="978" t="s">
        <v>1089</v>
      </c>
      <c r="B51" s="975"/>
      <c r="C51" s="975"/>
      <c r="D51" s="975"/>
      <c r="E51" s="975"/>
      <c r="F51" s="975"/>
      <c r="G51" s="975"/>
      <c r="H51" s="976">
        <v>70000</v>
      </c>
    </row>
    <row r="52" spans="1:8" ht="19.5" customHeight="1">
      <c r="A52" s="979" t="s">
        <v>1091</v>
      </c>
      <c r="B52" s="980"/>
      <c r="C52" s="980"/>
      <c r="D52" s="980"/>
      <c r="E52" s="980"/>
      <c r="F52" s="980"/>
      <c r="G52" s="980"/>
      <c r="H52" s="981">
        <f>SUM(H47:H51)</f>
        <v>290000</v>
      </c>
    </row>
    <row r="53" spans="1:8" ht="24" customHeight="1">
      <c r="A53" s="982" t="s">
        <v>234</v>
      </c>
      <c r="B53" s="983"/>
      <c r="C53" s="983"/>
      <c r="D53" s="983"/>
      <c r="E53" s="983"/>
      <c r="F53" s="983"/>
      <c r="G53" s="983"/>
      <c r="H53" s="984">
        <f>SUM(H52,H45)</f>
        <v>374724</v>
      </c>
    </row>
  </sheetData>
  <mergeCells count="9">
    <mergeCell ref="A10:H10"/>
    <mergeCell ref="G1:H1"/>
    <mergeCell ref="A8:A9"/>
    <mergeCell ref="A3:H3"/>
    <mergeCell ref="A4:H4"/>
    <mergeCell ref="H8:H9"/>
    <mergeCell ref="B8:D8"/>
    <mergeCell ref="E8:G8"/>
    <mergeCell ref="G7:H7"/>
  </mergeCells>
  <printOptions horizontalCentered="1"/>
  <pageMargins left="0.69" right="0.21" top="0.57" bottom="0.31496062992125984" header="0.15748031496062992" footer="0.1968503937007874"/>
  <pageSetup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sheetPr>
    <tabColor indexed="43"/>
  </sheetPr>
  <dimension ref="A1:G37"/>
  <sheetViews>
    <sheetView workbookViewId="0" topLeftCell="A25">
      <selection activeCell="A25" sqref="A1:IV16384"/>
    </sheetView>
  </sheetViews>
  <sheetFormatPr defaultColWidth="9.140625" defaultRowHeight="12.75"/>
  <cols>
    <col min="1" max="1" width="42.28125" style="275" customWidth="1"/>
    <col min="2" max="7" width="13.7109375" style="285" customWidth="1"/>
    <col min="8" max="16384" width="9.140625" style="275" customWidth="1"/>
  </cols>
  <sheetData>
    <row r="1" spans="6:7" ht="15">
      <c r="F1" s="1576" t="s">
        <v>769</v>
      </c>
      <c r="G1" s="1576"/>
    </row>
    <row r="2" spans="1:7" ht="15">
      <c r="A2" s="1579" t="s">
        <v>712</v>
      </c>
      <c r="B2" s="1579"/>
      <c r="C2" s="1579"/>
      <c r="D2" s="1579"/>
      <c r="E2" s="1579"/>
      <c r="F2" s="1579"/>
      <c r="G2" s="1579"/>
    </row>
    <row r="3" spans="1:7" ht="15">
      <c r="A3" s="1579" t="s">
        <v>770</v>
      </c>
      <c r="B3" s="1579"/>
      <c r="C3" s="1579"/>
      <c r="D3" s="1579"/>
      <c r="E3" s="1579"/>
      <c r="F3" s="1579"/>
      <c r="G3" s="1579"/>
    </row>
    <row r="4" spans="1:6" ht="15">
      <c r="A4" s="745"/>
      <c r="B4" s="748"/>
      <c r="C4" s="748"/>
      <c r="D4" s="748"/>
      <c r="E4" s="748"/>
      <c r="F4" s="748"/>
    </row>
    <row r="5" ht="15">
      <c r="G5" s="747" t="s">
        <v>384</v>
      </c>
    </row>
    <row r="6" spans="1:7" ht="15" customHeight="1">
      <c r="A6" s="1582" t="s">
        <v>856</v>
      </c>
      <c r="B6" s="1580" t="s">
        <v>352</v>
      </c>
      <c r="C6" s="1580" t="s">
        <v>713</v>
      </c>
      <c r="D6" s="1580" t="s">
        <v>857</v>
      </c>
      <c r="E6" s="1580" t="s">
        <v>858</v>
      </c>
      <c r="F6" s="1580" t="s">
        <v>859</v>
      </c>
      <c r="G6" s="1577" t="s">
        <v>166</v>
      </c>
    </row>
    <row r="7" spans="1:7" ht="48" customHeight="1">
      <c r="A7" s="1583"/>
      <c r="B7" s="1581"/>
      <c r="C7" s="1581"/>
      <c r="D7" s="1581"/>
      <c r="E7" s="1581"/>
      <c r="F7" s="1581"/>
      <c r="G7" s="1578"/>
    </row>
    <row r="8" spans="1:7" ht="21.75" customHeight="1">
      <c r="A8" s="1059" t="s">
        <v>953</v>
      </c>
      <c r="B8" s="323">
        <v>1928</v>
      </c>
      <c r="C8" s="323"/>
      <c r="D8" s="323"/>
      <c r="E8" s="323">
        <v>559</v>
      </c>
      <c r="F8" s="323">
        <v>58</v>
      </c>
      <c r="G8" s="1340">
        <f>SUM(B8:F8)</f>
        <v>2545</v>
      </c>
    </row>
    <row r="9" spans="1:7" ht="30.75" customHeight="1">
      <c r="A9" s="325" t="s">
        <v>125</v>
      </c>
      <c r="B9" s="304">
        <v>558</v>
      </c>
      <c r="C9" s="304"/>
      <c r="D9" s="304"/>
      <c r="E9" s="304">
        <v>162</v>
      </c>
      <c r="F9" s="304">
        <v>17</v>
      </c>
      <c r="G9" s="1341">
        <f aca="true" t="shared" si="0" ref="G9:G36">SUM(B9:F9)</f>
        <v>737</v>
      </c>
    </row>
    <row r="10" spans="1:7" ht="21.75" customHeight="1">
      <c r="A10" s="60" t="s">
        <v>406</v>
      </c>
      <c r="B10" s="304">
        <v>266</v>
      </c>
      <c r="C10" s="304"/>
      <c r="D10" s="304"/>
      <c r="E10" s="304">
        <v>77</v>
      </c>
      <c r="F10" s="304">
        <v>8</v>
      </c>
      <c r="G10" s="1341">
        <f t="shared" si="0"/>
        <v>351</v>
      </c>
    </row>
    <row r="11" spans="1:7" ht="21.75" customHeight="1">
      <c r="A11" s="1060" t="s">
        <v>84</v>
      </c>
      <c r="B11" s="304">
        <v>421</v>
      </c>
      <c r="C11" s="304"/>
      <c r="D11" s="304"/>
      <c r="E11" s="304">
        <v>122</v>
      </c>
      <c r="F11" s="304">
        <v>13</v>
      </c>
      <c r="G11" s="1341">
        <f t="shared" si="0"/>
        <v>556</v>
      </c>
    </row>
    <row r="12" spans="1:7" ht="21.75" customHeight="1">
      <c r="A12" s="60" t="s">
        <v>1352</v>
      </c>
      <c r="B12" s="304">
        <v>310</v>
      </c>
      <c r="C12" s="304"/>
      <c r="D12" s="304"/>
      <c r="E12" s="304">
        <v>90</v>
      </c>
      <c r="F12" s="304">
        <v>9</v>
      </c>
      <c r="G12" s="1341">
        <f t="shared" si="0"/>
        <v>409</v>
      </c>
    </row>
    <row r="13" spans="1:7" ht="21.75" customHeight="1">
      <c r="A13" s="60" t="s">
        <v>1353</v>
      </c>
      <c r="B13" s="304">
        <v>301</v>
      </c>
      <c r="C13" s="304"/>
      <c r="D13" s="304"/>
      <c r="E13" s="304">
        <v>87</v>
      </c>
      <c r="F13" s="304">
        <v>10</v>
      </c>
      <c r="G13" s="1341">
        <f t="shared" si="0"/>
        <v>398</v>
      </c>
    </row>
    <row r="14" spans="1:7" ht="30" customHeight="1">
      <c r="A14" s="672" t="s">
        <v>407</v>
      </c>
      <c r="B14" s="304">
        <v>393</v>
      </c>
      <c r="C14" s="304"/>
      <c r="D14" s="304"/>
      <c r="E14" s="304">
        <v>114</v>
      </c>
      <c r="F14" s="304">
        <v>12</v>
      </c>
      <c r="G14" s="1341">
        <f t="shared" si="0"/>
        <v>519</v>
      </c>
    </row>
    <row r="15" spans="1:7" ht="21.75" customHeight="1">
      <c r="A15" s="60" t="s">
        <v>1354</v>
      </c>
      <c r="B15" s="304">
        <v>305</v>
      </c>
      <c r="C15" s="304"/>
      <c r="D15" s="304"/>
      <c r="E15" s="304">
        <v>88</v>
      </c>
      <c r="F15" s="304">
        <v>9</v>
      </c>
      <c r="G15" s="1341">
        <f t="shared" si="0"/>
        <v>402</v>
      </c>
    </row>
    <row r="16" spans="1:7" ht="21.75" customHeight="1">
      <c r="A16" s="60" t="s">
        <v>591</v>
      </c>
      <c r="B16" s="304">
        <v>307</v>
      </c>
      <c r="C16" s="304"/>
      <c r="D16" s="304"/>
      <c r="E16" s="304">
        <v>89</v>
      </c>
      <c r="F16" s="304">
        <v>9</v>
      </c>
      <c r="G16" s="1341">
        <f t="shared" si="0"/>
        <v>405</v>
      </c>
    </row>
    <row r="17" spans="1:7" ht="30" customHeight="1">
      <c r="A17" s="325" t="s">
        <v>1542</v>
      </c>
      <c r="B17" s="304">
        <v>554</v>
      </c>
      <c r="C17" s="304"/>
      <c r="D17" s="304"/>
      <c r="E17" s="304">
        <v>161</v>
      </c>
      <c r="F17" s="304">
        <v>16</v>
      </c>
      <c r="G17" s="1341">
        <f t="shared" si="0"/>
        <v>731</v>
      </c>
    </row>
    <row r="18" spans="1:7" ht="33" customHeight="1">
      <c r="A18" s="325" t="s">
        <v>408</v>
      </c>
      <c r="B18" s="304">
        <v>474</v>
      </c>
      <c r="C18" s="304"/>
      <c r="D18" s="304"/>
      <c r="E18" s="304">
        <v>138</v>
      </c>
      <c r="F18" s="304">
        <v>14</v>
      </c>
      <c r="G18" s="1341">
        <f t="shared" si="0"/>
        <v>626</v>
      </c>
    </row>
    <row r="19" spans="1:7" ht="33" customHeight="1">
      <c r="A19" s="325" t="s">
        <v>1543</v>
      </c>
      <c r="B19" s="304">
        <v>328</v>
      </c>
      <c r="C19" s="304"/>
      <c r="D19" s="304"/>
      <c r="E19" s="304">
        <v>95</v>
      </c>
      <c r="F19" s="304">
        <v>10</v>
      </c>
      <c r="G19" s="1341">
        <f t="shared" si="0"/>
        <v>433</v>
      </c>
    </row>
    <row r="20" spans="1:7" ht="30" customHeight="1">
      <c r="A20" s="325" t="s">
        <v>459</v>
      </c>
      <c r="B20" s="304">
        <v>456</v>
      </c>
      <c r="C20" s="304"/>
      <c r="D20" s="304"/>
      <c r="E20" s="304">
        <v>132</v>
      </c>
      <c r="F20" s="304">
        <v>13</v>
      </c>
      <c r="G20" s="1341">
        <f t="shared" si="0"/>
        <v>601</v>
      </c>
    </row>
    <row r="21" spans="1:7" ht="21.75" customHeight="1">
      <c r="A21" s="1060" t="s">
        <v>1410</v>
      </c>
      <c r="B21" s="304">
        <v>653</v>
      </c>
      <c r="C21" s="304"/>
      <c r="D21" s="304"/>
      <c r="E21" s="304">
        <v>189</v>
      </c>
      <c r="F21" s="304">
        <v>20</v>
      </c>
      <c r="G21" s="1341">
        <f t="shared" si="0"/>
        <v>862</v>
      </c>
    </row>
    <row r="22" spans="1:7" ht="21.75" customHeight="1">
      <c r="A22" s="742" t="s">
        <v>62</v>
      </c>
      <c r="B22" s="304">
        <v>423</v>
      </c>
      <c r="C22" s="304"/>
      <c r="D22" s="304">
        <v>738</v>
      </c>
      <c r="E22" s="304">
        <v>337</v>
      </c>
      <c r="F22" s="304">
        <v>34</v>
      </c>
      <c r="G22" s="1341">
        <f t="shared" si="0"/>
        <v>1532</v>
      </c>
    </row>
    <row r="23" spans="1:7" ht="21.75" customHeight="1">
      <c r="A23" s="742" t="s">
        <v>63</v>
      </c>
      <c r="B23" s="304">
        <v>392</v>
      </c>
      <c r="C23" s="304"/>
      <c r="D23" s="304">
        <v>742</v>
      </c>
      <c r="E23" s="304">
        <v>329</v>
      </c>
      <c r="F23" s="304">
        <v>33</v>
      </c>
      <c r="G23" s="1341">
        <f t="shared" si="0"/>
        <v>1496</v>
      </c>
    </row>
    <row r="24" spans="1:7" ht="21.75" customHeight="1">
      <c r="A24" s="325" t="s">
        <v>1483</v>
      </c>
      <c r="B24" s="304">
        <v>423</v>
      </c>
      <c r="C24" s="304"/>
      <c r="D24" s="304">
        <v>1211</v>
      </c>
      <c r="E24" s="304">
        <v>473</v>
      </c>
      <c r="F24" s="304">
        <v>49</v>
      </c>
      <c r="G24" s="1341">
        <f t="shared" si="0"/>
        <v>2156</v>
      </c>
    </row>
    <row r="25" spans="1:7" ht="21.75" customHeight="1">
      <c r="A25" s="325" t="s">
        <v>1412</v>
      </c>
      <c r="B25" s="304">
        <v>466</v>
      </c>
      <c r="C25" s="304"/>
      <c r="D25" s="304">
        <v>1087</v>
      </c>
      <c r="E25" s="304">
        <v>450</v>
      </c>
      <c r="F25" s="304">
        <v>47</v>
      </c>
      <c r="G25" s="1341">
        <f t="shared" si="0"/>
        <v>2050</v>
      </c>
    </row>
    <row r="26" spans="1:7" ht="34.5" customHeight="1">
      <c r="A26" s="1061" t="s">
        <v>1340</v>
      </c>
      <c r="B26" s="304">
        <v>248</v>
      </c>
      <c r="C26" s="304"/>
      <c r="D26" s="304">
        <v>699</v>
      </c>
      <c r="E26" s="304">
        <v>275</v>
      </c>
      <c r="F26" s="304">
        <v>29</v>
      </c>
      <c r="G26" s="1341">
        <f t="shared" si="0"/>
        <v>1251</v>
      </c>
    </row>
    <row r="27" spans="1:7" ht="30.75" customHeight="1">
      <c r="A27" s="743" t="s">
        <v>558</v>
      </c>
      <c r="B27" s="304">
        <v>409</v>
      </c>
      <c r="C27" s="304"/>
      <c r="D27" s="304">
        <v>2105</v>
      </c>
      <c r="E27" s="304">
        <v>730</v>
      </c>
      <c r="F27" s="304">
        <v>75</v>
      </c>
      <c r="G27" s="1341">
        <f t="shared" si="0"/>
        <v>3319</v>
      </c>
    </row>
    <row r="28" spans="1:7" ht="30" customHeight="1">
      <c r="A28" s="742" t="s">
        <v>554</v>
      </c>
      <c r="B28" s="304">
        <v>785</v>
      </c>
      <c r="C28" s="304"/>
      <c r="D28" s="304">
        <v>3347</v>
      </c>
      <c r="E28" s="304">
        <v>1199</v>
      </c>
      <c r="F28" s="304">
        <v>124</v>
      </c>
      <c r="G28" s="1341">
        <f t="shared" si="0"/>
        <v>5455</v>
      </c>
    </row>
    <row r="29" spans="1:7" ht="30.75" customHeight="1">
      <c r="A29" s="742" t="s">
        <v>1486</v>
      </c>
      <c r="B29" s="304">
        <v>423</v>
      </c>
      <c r="C29" s="304"/>
      <c r="D29" s="304">
        <v>1464</v>
      </c>
      <c r="E29" s="304">
        <v>547</v>
      </c>
      <c r="F29" s="304">
        <v>57</v>
      </c>
      <c r="G29" s="1341">
        <f t="shared" si="0"/>
        <v>2491</v>
      </c>
    </row>
    <row r="30" spans="1:7" ht="30.75" customHeight="1">
      <c r="A30" s="325" t="s">
        <v>126</v>
      </c>
      <c r="B30" s="304">
        <v>674</v>
      </c>
      <c r="C30" s="304"/>
      <c r="D30" s="304">
        <v>3391</v>
      </c>
      <c r="E30" s="304">
        <v>1178</v>
      </c>
      <c r="F30" s="304">
        <v>122</v>
      </c>
      <c r="G30" s="1341">
        <f t="shared" si="0"/>
        <v>5365</v>
      </c>
    </row>
    <row r="31" spans="1:7" ht="27.75" customHeight="1">
      <c r="A31" s="325" t="s">
        <v>451</v>
      </c>
      <c r="B31" s="304">
        <v>506</v>
      </c>
      <c r="C31" s="304"/>
      <c r="D31" s="304">
        <v>1658</v>
      </c>
      <c r="E31" s="304">
        <v>628</v>
      </c>
      <c r="F31" s="304">
        <v>65</v>
      </c>
      <c r="G31" s="1341">
        <f t="shared" si="0"/>
        <v>2857</v>
      </c>
    </row>
    <row r="32" spans="1:7" ht="21.75" customHeight="1">
      <c r="A32" s="742" t="s">
        <v>983</v>
      </c>
      <c r="B32" s="304">
        <v>428</v>
      </c>
      <c r="C32" s="304"/>
      <c r="D32" s="304">
        <v>1554</v>
      </c>
      <c r="E32" s="304">
        <v>574</v>
      </c>
      <c r="F32" s="304">
        <v>60</v>
      </c>
      <c r="G32" s="1341">
        <f t="shared" si="0"/>
        <v>2616</v>
      </c>
    </row>
    <row r="33" spans="1:7" ht="21.75" customHeight="1">
      <c r="A33" s="742" t="s">
        <v>64</v>
      </c>
      <c r="B33" s="304">
        <v>434</v>
      </c>
      <c r="C33" s="304"/>
      <c r="D33" s="304"/>
      <c r="E33" s="304">
        <v>126</v>
      </c>
      <c r="F33" s="304">
        <v>13</v>
      </c>
      <c r="G33" s="1341">
        <f t="shared" si="0"/>
        <v>573</v>
      </c>
    </row>
    <row r="34" spans="1:7" ht="21.75" customHeight="1">
      <c r="A34" s="744" t="s">
        <v>1</v>
      </c>
      <c r="B34" s="310">
        <v>230</v>
      </c>
      <c r="C34" s="310"/>
      <c r="D34" s="310"/>
      <c r="E34" s="310">
        <v>67</v>
      </c>
      <c r="F34" s="310">
        <v>7</v>
      </c>
      <c r="G34" s="1342">
        <f t="shared" si="0"/>
        <v>304</v>
      </c>
    </row>
    <row r="35" spans="1:7" ht="30">
      <c r="A35" s="742" t="s">
        <v>714</v>
      </c>
      <c r="B35" s="304"/>
      <c r="C35" s="304">
        <v>833</v>
      </c>
      <c r="D35" s="304"/>
      <c r="E35" s="310">
        <v>242</v>
      </c>
      <c r="F35" s="310">
        <v>25</v>
      </c>
      <c r="G35" s="1342">
        <f t="shared" si="0"/>
        <v>1100</v>
      </c>
    </row>
    <row r="36" spans="1:7" ht="30">
      <c r="A36" s="1160" t="s">
        <v>715</v>
      </c>
      <c r="B36" s="987"/>
      <c r="C36" s="987">
        <v>192</v>
      </c>
      <c r="D36" s="987"/>
      <c r="E36" s="310">
        <f>C36*0.29</f>
        <v>55.67999999999999</v>
      </c>
      <c r="F36" s="310">
        <v>5</v>
      </c>
      <c r="G36" s="1342">
        <f t="shared" si="0"/>
        <v>252.68</v>
      </c>
    </row>
    <row r="37" spans="1:7" ht="34.5" customHeight="1">
      <c r="A37" s="746" t="s">
        <v>948</v>
      </c>
      <c r="B37" s="1062">
        <f aca="true" t="shared" si="1" ref="B37:G37">SUM(B8:B36)</f>
        <v>13095</v>
      </c>
      <c r="C37" s="1062">
        <f t="shared" si="1"/>
        <v>1025</v>
      </c>
      <c r="D37" s="1062">
        <f t="shared" si="1"/>
        <v>17996</v>
      </c>
      <c r="E37" s="1062">
        <f t="shared" si="1"/>
        <v>9313.68</v>
      </c>
      <c r="F37" s="1062">
        <f t="shared" si="1"/>
        <v>963</v>
      </c>
      <c r="G37" s="1063">
        <f t="shared" si="1"/>
        <v>42392.68</v>
      </c>
    </row>
  </sheetData>
  <mergeCells count="10">
    <mergeCell ref="F1:G1"/>
    <mergeCell ref="G6:G7"/>
    <mergeCell ref="A2:G2"/>
    <mergeCell ref="A3:G3"/>
    <mergeCell ref="B6:B7"/>
    <mergeCell ref="D6:D7"/>
    <mergeCell ref="E6:E7"/>
    <mergeCell ref="F6:F7"/>
    <mergeCell ref="A6:A7"/>
    <mergeCell ref="C6:C7"/>
  </mergeCells>
  <printOptions horizontalCentered="1"/>
  <pageMargins left="0.58" right="0.2362204724409449" top="0.88" bottom="0.29" header="0.19" footer="0.21"/>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Dalocsáné Terenyei Ágnes</dc:creator>
  <cp:keywords/>
  <dc:description/>
  <cp:lastModifiedBy>Dalocsáné Terenyei Ágnes</cp:lastModifiedBy>
  <cp:lastPrinted>2008-02-07T10:44:00Z</cp:lastPrinted>
  <dcterms:created xsi:type="dcterms:W3CDTF">2006-12-25T07:39:15Z</dcterms:created>
  <dcterms:modified xsi:type="dcterms:W3CDTF">2010-04-28T14:27:50Z</dcterms:modified>
  <cp:category/>
  <cp:version/>
  <cp:contentType/>
  <cp:contentStatus/>
</cp:coreProperties>
</file>