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780" tabRatio="963" activeTab="1"/>
  </bookViews>
  <sheets>
    <sheet name="1.Főbb mutatók" sheetId="1" r:id="rId1"/>
    <sheet name="2.Bevételek 98-tól" sheetId="2" r:id="rId2"/>
    <sheet name="Bevételek index %munka" sheetId="3" state="hidden" r:id="rId3"/>
    <sheet name="2b helyi adók" sheetId="4" r:id="rId4"/>
    <sheet name="2aVagyonhaszn bevét 98-tól" sheetId="5" r:id="rId5"/>
    <sheet name="2c Norm. munka" sheetId="6" state="hidden" r:id="rId6"/>
    <sheet name="3és 3a Kiadások 98-tól" sheetId="7" state="hidden" r:id="rId7"/>
    <sheet name="3b PH kiad " sheetId="8" state="hidden" r:id="rId8"/>
    <sheet name="5.Költségvetési hiány" sheetId="9" state="hidden" r:id="rId9"/>
    <sheet name="4 Intézm kiadások és támogat" sheetId="10" state="hidden" r:id="rId10"/>
    <sheet name="6a Hitelállomány" sheetId="11" state="hidden" r:id="rId11"/>
    <sheet name="6 köv-köt" sheetId="12" state="hidden" r:id="rId12"/>
    <sheet name="7a Üzletrészek" sheetId="13" state="hidden" r:id="rId13"/>
    <sheet name="7b Részesedések" sheetId="14" state="hidden" r:id="rId14"/>
    <sheet name="8 Vagyon alakulása" sheetId="15" state="hidden" r:id="rId15"/>
    <sheet name="9. jelzálog ing" sheetId="16" state="hidden" r:id="rId16"/>
    <sheet name="bejárók 2005-2006" sheetId="17" state="hidden" r:id="rId17"/>
    <sheet name="bejárók 2005" sheetId="18" state="hidden" r:id="rId18"/>
    <sheet name="bejárók 2006" sheetId="19" state="hidden" r:id="rId19"/>
    <sheet name="B függelék" sheetId="20" state="hidden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19" hidden="1">'B függelék'!$A$1:$A$186</definedName>
    <definedName name="GDP" localSheetId="16">'[3]Háttéradatok'!$B$22:$AG$28</definedName>
    <definedName name="GDP">'[2]Háttéradatok'!$B$22:$AG$28</definedName>
    <definedName name="nep">'[3]Háttéradatok'!$C$29:$AG$32</definedName>
    <definedName name="nép" localSheetId="16">'[3]Háttéradatok'!$C$29:$AG$32</definedName>
    <definedName name="nép">'[2]Háttéradatok'!$C$29:$AG$32</definedName>
    <definedName name="_xlnm.Print_Titles" localSheetId="19">'B függelék'!$3:$6</definedName>
    <definedName name="_xlnm.Print_Titles" localSheetId="16">'bejárók 2005-2006'!$5:$6</definedName>
    <definedName name="_xlnm.Print_Titles" localSheetId="18">'bejárók 2006'!$A:$A</definedName>
    <definedName name="_xlnm.Print_Area" localSheetId="1">'2.Bevételek 98-tól'!$A$1:$M$50</definedName>
    <definedName name="_xlnm.Print_Area" localSheetId="4">'2aVagyonhaszn bevét 98-tól'!$A$1:$N$86</definedName>
    <definedName name="_xlnm.Print_Area" localSheetId="3">'2b helyi adók'!$A$1:$R$42</definedName>
    <definedName name="_xlnm.Print_Area" localSheetId="5">'2c Norm. munka'!$A$1:$K$42</definedName>
    <definedName name="_xlnm.Print_Area" localSheetId="7">'3b PH kiad '!$A$1:$I$206</definedName>
    <definedName name="_xlnm.Print_Area" localSheetId="6">'3és 3a Kiadások 98-tól'!$A$1:$K$67</definedName>
    <definedName name="_xlnm.Print_Area" localSheetId="9">'4 Intézm kiadások és támogat'!$A$1:$Y$86</definedName>
    <definedName name="_xlnm.Print_Area" localSheetId="8">'5.Költségvetési hiány'!$A$1:$K$20</definedName>
    <definedName name="_xlnm.Print_Area" localSheetId="11">'6 köv-köt'!$A$1:$M$28</definedName>
    <definedName name="_xlnm.Print_Area" localSheetId="10">'6a Hitelállomány'!$A$1:$H$39</definedName>
    <definedName name="_xlnm.Print_Area" localSheetId="12">'7a Üzletrészek'!$A$1:$H$34</definedName>
    <definedName name="_xlnm.Print_Area" localSheetId="13">'7b Részesedések'!$A$1:$I$46</definedName>
    <definedName name="_xlnm.Print_Area" localSheetId="19">'B függelék'!$A$1:$H$85</definedName>
    <definedName name="_xlnm.Print_Area" localSheetId="16">'bejárók 2005-2006'!$A$1:$U$45</definedName>
    <definedName name="_xlnm.Print_Area" localSheetId="18">'bejárók 2006'!$A$1:$I$56</definedName>
    <definedName name="_xlnm.Print_Area" localSheetId="2">'Bevételek index %munka'!$A$1:$R$37</definedName>
    <definedName name="xxx">'[3]Háttéradatok'!$C$29:$AG$32</definedName>
    <definedName name="xxxxxx" localSheetId="16">'[3]Háttéradatok'!$C$29:$AG$32</definedName>
    <definedName name="xxxxxx">'[2]Háttéradatok'!$C$29:$AG$32</definedName>
  </definedNames>
  <calcPr fullCalcOnLoad="1"/>
</workbook>
</file>

<file path=xl/comments17.xml><?xml version="1.0" encoding="utf-8"?>
<comments xmlns="http://schemas.openxmlformats.org/spreadsheetml/2006/main">
  <authors>
    <author>K?ri</author>
  </authors>
  <commentList>
    <comment ref="S40" authorId="0">
      <text>
        <r>
          <rPr>
            <b/>
            <sz val="10"/>
            <rFont val="Tahoma"/>
            <family val="2"/>
          </rPr>
          <t>Kéri:</t>
        </r>
        <r>
          <rPr>
            <sz val="10"/>
            <rFont val="Tahoma"/>
            <family val="2"/>
          </rPr>
          <t xml:space="preserve">
csak a nappali és a kollégista</t>
        </r>
      </text>
    </comment>
  </commentList>
</comments>
</file>

<file path=xl/comments18.xml><?xml version="1.0" encoding="utf-8"?>
<comments xmlns="http://schemas.openxmlformats.org/spreadsheetml/2006/main">
  <authors>
    <author>K?ri</author>
  </authors>
  <commentList>
    <comment ref="K40" authorId="0">
      <text>
        <r>
          <rPr>
            <b/>
            <sz val="10"/>
            <rFont val="Tahoma"/>
            <family val="2"/>
          </rPr>
          <t>Kéri:</t>
        </r>
        <r>
          <rPr>
            <sz val="10"/>
            <rFont val="Tahoma"/>
            <family val="2"/>
          </rPr>
          <t xml:space="preserve">
csak a nappali és a kollégista</t>
        </r>
      </text>
    </comment>
  </commentList>
</comments>
</file>

<file path=xl/comments19.xml><?xml version="1.0" encoding="utf-8"?>
<comments xmlns="http://schemas.openxmlformats.org/spreadsheetml/2006/main">
  <authors>
    <author>K?ri</author>
  </authors>
  <commentList>
    <comment ref="K32" authorId="0">
      <text>
        <r>
          <rPr>
            <b/>
            <sz val="8"/>
            <rFont val="Tahoma"/>
            <family val="0"/>
          </rPr>
          <t>Kéri:</t>
        </r>
        <r>
          <rPr>
            <sz val="8"/>
            <rFont val="Tahoma"/>
            <family val="0"/>
          </rPr>
          <t xml:space="preserve">
összlétszámhoz viszonyítva</t>
        </r>
      </text>
    </comment>
  </commentList>
</comments>
</file>

<file path=xl/comments20.xml><?xml version="1.0" encoding="utf-8"?>
<comments xmlns="http://schemas.openxmlformats.org/spreadsheetml/2006/main">
  <authors>
    <author>B?di Ilona</author>
    <author>botosk</author>
  </authors>
  <commentList>
    <comment ref="E14" authorId="0">
      <text>
        <r>
          <rPr>
            <sz val="8"/>
            <rFont val="Tahoma"/>
            <family val="0"/>
          </rPr>
          <t xml:space="preserve">Az összeg az infláció mértékével növelésre fog kerülni - szerződés szerint.
</t>
        </r>
      </text>
    </comment>
    <comment ref="F14" authorId="0">
      <text>
        <r>
          <rPr>
            <sz val="8"/>
            <rFont val="Tahoma"/>
            <family val="0"/>
          </rPr>
          <t xml:space="preserve">Az összeg az infláció mértékével növelésre fog kerülni - szerződés szerint.
</t>
        </r>
      </text>
    </comment>
    <comment ref="C47" authorId="1">
      <text>
        <r>
          <rPr>
            <b/>
            <sz val="8"/>
            <rFont val="Tahoma"/>
            <family val="0"/>
          </rPr>
          <t>botosk:</t>
        </r>
        <r>
          <rPr>
            <sz val="8"/>
            <rFont val="Tahoma"/>
            <family val="0"/>
          </rPr>
          <t xml:space="preserve">
előterjesztésben kb.16029 e Ft.
</t>
        </r>
      </text>
    </comment>
    <comment ref="G47" authorId="1">
      <text>
        <r>
          <rPr>
            <b/>
            <sz val="8"/>
            <rFont val="Tahoma"/>
            <family val="0"/>
          </rPr>
          <t>botosk:</t>
        </r>
        <r>
          <rPr>
            <sz val="8"/>
            <rFont val="Tahoma"/>
            <family val="0"/>
          </rPr>
          <t xml:space="preserve">
várhatóan 2007. év</t>
        </r>
      </text>
    </comment>
  </commentList>
</comments>
</file>

<file path=xl/comments3.xml><?xml version="1.0" encoding="utf-8"?>
<comments xmlns="http://schemas.openxmlformats.org/spreadsheetml/2006/main">
  <authors>
    <author>hh</author>
  </authors>
  <commentList>
    <comment ref="R18" authorId="0">
      <text>
        <r>
          <rPr>
            <b/>
            <sz val="8"/>
            <rFont val="Tahoma"/>
            <family val="0"/>
          </rPr>
          <t>hh:</t>
        </r>
        <r>
          <rPr>
            <sz val="8"/>
            <rFont val="Tahoma"/>
            <family val="0"/>
          </rPr>
          <t xml:space="preserve">
Jó ez a szám? Túl nagy.</t>
        </r>
      </text>
    </comment>
    <comment ref="R20" authorId="0">
      <text>
        <r>
          <rPr>
            <b/>
            <sz val="8"/>
            <rFont val="Tahoma"/>
            <family val="0"/>
          </rPr>
          <t>hh:</t>
        </r>
        <r>
          <rPr>
            <sz val="8"/>
            <rFont val="Tahoma"/>
            <family val="0"/>
          </rPr>
          <t xml:space="preserve">
Költségvetési hiánnyal 1.782 Millió forint
tervben 305 Millió Ft</t>
        </r>
      </text>
    </comment>
    <comment ref="R35" authorId="0">
      <text>
        <r>
          <rPr>
            <b/>
            <sz val="8"/>
            <rFont val="Tahoma"/>
            <family val="0"/>
          </rPr>
          <t>hh:</t>
        </r>
        <r>
          <rPr>
            <sz val="8"/>
            <rFont val="Tahoma"/>
            <family val="0"/>
          </rPr>
          <t xml:space="preserve">
Biztos jó ez?</t>
        </r>
      </text>
    </comment>
    <comment ref="R48" authorId="0">
      <text>
        <r>
          <rPr>
            <b/>
            <sz val="8"/>
            <rFont val="Tahoma"/>
            <family val="0"/>
          </rPr>
          <t>hh:</t>
        </r>
        <r>
          <rPr>
            <sz val="8"/>
            <rFont val="Tahoma"/>
            <family val="0"/>
          </rPr>
          <t xml:space="preserve">
Biztos jó ez?</t>
        </r>
      </text>
    </comment>
  </commentList>
</comments>
</file>

<file path=xl/sharedStrings.xml><?xml version="1.0" encoding="utf-8"?>
<sst xmlns="http://schemas.openxmlformats.org/spreadsheetml/2006/main" count="1599" uniqueCount="749">
  <si>
    <t>212/2006. (VIII.31.)</t>
  </si>
  <si>
    <t>2007 évi költségvetés</t>
  </si>
  <si>
    <t>1998. év</t>
  </si>
  <si>
    <t>1999. év</t>
  </si>
  <si>
    <t>2000. év</t>
  </si>
  <si>
    <t>2001. év</t>
  </si>
  <si>
    <t>2002. év</t>
  </si>
  <si>
    <t>2007. év</t>
  </si>
  <si>
    <t>Iparosított technológiával épült lakóépületek energiatakarékos korszerűsítésének, felújításásnak és a lakóépületek környzete felújításának támogatása (Szolnok, Bajcsy Zs. u. 8-16. szám alatti társasház) - Szollak Kft. részére, a pályázattal kapcsolatos sz</t>
  </si>
  <si>
    <t>213/2006. (VIII.31.)</t>
  </si>
  <si>
    <t>Iparosított technológiával épült lakóépületek energiatakarékos korszerűsítésének, felújításásnak és a lakóépületek környzete felújításának támogatása (Szolnok, Kassák L.U.13. szám alatti társasház) - Szollak Kft.részére pályázattal kapcs.szereződés előkés</t>
  </si>
  <si>
    <t>214/2006. (VIII.31.)</t>
  </si>
  <si>
    <t>Iparosított technológiával épült lakóépületek energiatakarékos korszerűsítésének, felújításásnak és a lakóépületek környzete felújításának támogatása (Szolnok, Gorkíj út 38 szám alatti társasház) - Szollak Kft.részére pályázattal kapcs.szerződés előkészít</t>
  </si>
  <si>
    <t>215/2006. (VIII.31.)</t>
  </si>
  <si>
    <t>Iparosított technológiával épült lakóépületek energiatakarékos korszerűsítésének, felújításásnak és a lakóépületek környzete felújításának támogatása (Szolnok, Nagy I.krt 12-18 szám alatti társasház) Szollak Kft.részére pályázattal kapcs.szerződés előkész</t>
  </si>
  <si>
    <t>216/2006. (VIII.31.)</t>
  </si>
  <si>
    <t>Iparosított technológiával épült lakóépületek energiatakarékos korszerűsítésének, felújításásnak és a lakóépületek környzete felújításának támogatása (Szolnok, Pozsonyi u.65. szám alatti társasház) - Szollak Kft.részére pályázattal kapcs.szerződés előkész</t>
  </si>
  <si>
    <t>217/2006. (VIII.31.)</t>
  </si>
  <si>
    <t xml:space="preserve">Iparosított technológiával épült lakóépületek energiatakarékos korszerűsítésének, felújításásnak és a lakóépületek környzete felújításának támogatása (Szolnok, Zagyvaparti sétány 1-3.  szám alatti társasház)Szollak Kft.részére pályázattal kapcs.szerződés </t>
  </si>
  <si>
    <t>218/2006.(VIII.31.)</t>
  </si>
  <si>
    <t>Iparosított tech.épült lakóépületek energiatakarékos korszerűsítésének ,felújításának , és a lakóép.körny.felúj támogatására meghird.pályázatra a Szolnok Hild V.ut3  sz.alatti th. Által beny. Pályázat elbírálásáról</t>
  </si>
  <si>
    <t>2007.évi költségvetés</t>
  </si>
  <si>
    <t xml:space="preserve">Iparosított tech.épült lakóépületek energiatakarékos korszerűsítésének ,felújításának , és a lakóép.körny.felúj támogatására meghird.pályázatra a Szolnok Hild V.ut3  sz.alatti th. Által beny. Pályázat elbírálásáról Szollak Kft.pályázattal kapcs.szerződés </t>
  </si>
  <si>
    <t>219/2006.(VIII.31.)</t>
  </si>
  <si>
    <t>Iparosított tech.épült lakóépületek energiatakarékos korszerűsítésének ,felújításának , és a lakóép.körny.felúj támogatására meghird.pályázatra a Szolnok TVM Lak.4  sz.alatti th. Által beny. Pályázat elbírálásáról</t>
  </si>
  <si>
    <t>Iparosított tech.épült lakóépületek energiatakarékos korszerűsítésének ,felújításának , és a lakóép.körny.felúj támogatására meghird.pályázatra a Szolnok TVM Lak.4  sz.alatti th. Által beny. Pályázat elbírálásárólSzollak Kft.pályázattal kapcs.szerződés el</t>
  </si>
  <si>
    <t>2700.évi költéségvetés</t>
  </si>
  <si>
    <t>220/2006.(VIII.31.)</t>
  </si>
  <si>
    <t>Iparosított tech.épült lakóépületek energiatakarékos korszerűsítésének ,felújításának , és a lakóép.körny.felúj támogatására meghird.pályázatra a Szolnok TVM ltp.5 sz.alatti th. Által beny. Pályázat elbírálásáról</t>
  </si>
  <si>
    <t>Iparosított tech.épült lakóépületek energiatakarékos korszerűsítésének ,felújításának , és a lakóép.körny.felúj támogatására meghird.pályázatra a Szolnok TVM ltp.5 sz.alatti th. Által beny. Pályázat elbírálásáról Szollak Kft.pályázattal kapcs.szerződés el</t>
  </si>
  <si>
    <t>233/2006. (IX.21.)</t>
  </si>
  <si>
    <t>Iparosított technológiával épült lakóép.energiatak.korsz.felújításának és a lakép.környezete felújításának támogatására meghírdetett pályázatra Szolnok Hild V. u.16-18-20. szám alatti társasház által benyújtott pályázat elbírálásáról -Önkormányzat által b</t>
  </si>
  <si>
    <t>233/2006. (XI.21.)</t>
  </si>
  <si>
    <t>Egyéb fejlesztésre átvett pe.</t>
  </si>
  <si>
    <t>Állami támogatások működésre</t>
  </si>
  <si>
    <t>Átvett pénzeszközök működésre</t>
  </si>
  <si>
    <t>Államtól fejlesztésre kapott pénze.</t>
  </si>
  <si>
    <t>Államtól működésre kapott pe. össz.</t>
  </si>
  <si>
    <t>Egyéb fejlesztésre átvett pénze.</t>
  </si>
  <si>
    <t>Iparosított technológiával épült lakóép.energiatak.korsz.felújításának és a lakép.környezete felújításának támogatására meghírdetett pályázatra Szolnok Hild V. u.16-18-20. szám alatti társasház által benyújtott pályázat elbírálásáról -Szollak Kft.pályázat</t>
  </si>
  <si>
    <t>234/2006. (IX.21.)</t>
  </si>
  <si>
    <t>Iparosított technológiával épült lakóép.energiatak.korsz.felújításának és a lakép.környezete felújításának támogatására meghírdetett pályázatra Szolnok Lovas I.u.16-18-20. szám alatti társasház által benyújtott pályázat elbírálásáról -Önkormányzat által b</t>
  </si>
  <si>
    <t>Iparosított technológiával épült lakóép.energiatak.korsz.felújításának és a lakép.környezete felújításának támogatására meghírdetett pályázatra Szolnok Lovas I.u.16-18-20. szám alatti társasház által benyújtott pályázat elbírálásáról - Szollak Kft.részére</t>
  </si>
  <si>
    <t>235/2006. (IX.21.)</t>
  </si>
  <si>
    <t>Iparosított technológiával épült lakóép.energiatak.korsz.felújításának és a lakép.környezete felújításának támogatására meghírdetett pályázatra Szolnok Malom u.12-14. szám alatti társasház által benyújtott pályázat elbírálásáról -Önkormányzat által biztos</t>
  </si>
  <si>
    <t>Iparosított technológiával épült lakóép.energiatak.korsz.felújításának és a lakép.környezete felújításának támogatására meghírdetett pályázatra Szolnok Malom u 12-14. szám alatti társasház által benyújtott pályázat elbírálásáról - Szollak Kft.részére a pá</t>
  </si>
  <si>
    <t>236/2006. (IX.21.)</t>
  </si>
  <si>
    <t>Iparosított technológiával épült lakóép.energiatak.korsz.felújításának és a lakép.környezete felújításának támogatására meghírdetett pályázatra Szolnok Jubileum tér 4. szám alatti társasház által benyújtott pályázat elbírálásáról -Önkormányzat által bizto</t>
  </si>
  <si>
    <t>Iparosított technológiával épült lakóép.energiatak.korsz.felújításának és a lakép.környezete felújításának támogatására meghírdetett pályázatra Szolnok Jubileum tér 4. szám alatti társasház által benyújtott pályázat elbírálásáról - Szollak Kft.részére a p</t>
  </si>
  <si>
    <t>237/2006. (IX.21.)</t>
  </si>
  <si>
    <t>Iparosított technológiával épült lakóép.energiatak.korsz.felújításának és a lakép.környezete felújításának támogatására meghírdetett pályázatra Szolnok Jubileum tér 5. szám alatti társasház által benyújtott pályázat elbírálásáról -Önkormányzat által bizto</t>
  </si>
  <si>
    <t>Iparosított technológiával épült lakóép.energiatak.korsz.felújításának és a lakép.környezete felújításának támogatására meghírdetett pályázatra Szolnok Jubileum tér 5. szám alatti társasház által benyújtott pályázat elbírálásáról - Szollak Kft.részére a p</t>
  </si>
  <si>
    <t>Z-94/2006.(IX.21.)</t>
  </si>
  <si>
    <t>A Szolnoki Ipari Park Kft.alapító okiratának módosításáról (0937/113 hrsz .számú ing.műv.ág alóli kivonásának költsége)</t>
  </si>
  <si>
    <t>nincs megjelölve</t>
  </si>
  <si>
    <t>211/2006. (VIII.31.)</t>
  </si>
  <si>
    <t>Bursa Hungarica Felsőoktatási Önkormányzati Ösztöndíjrendszer 2007. évi fordulójáról</t>
  </si>
  <si>
    <t>Z-50/2006. (V.25.)</t>
  </si>
  <si>
    <t xml:space="preserve">A parodontológiai szakellátás vállalkozási formában történő ellátásáról - támogatás nyújtása </t>
  </si>
  <si>
    <t>2006. évi költségvetés</t>
  </si>
  <si>
    <t>Z-58/2006. (VI.22.)</t>
  </si>
  <si>
    <t>Szolnok Megyei Jogú Város Önkormányzata és a Magyar Szeretetszolgálat Egyesület között a szociális ellátás biztosítása terén kötendő megállapodás - működési támogatás nyújtása</t>
  </si>
  <si>
    <t>2007. évtől: 3.963 eFt/év, az azt követő éveket tekintve az inflációval növelt összeg</t>
  </si>
  <si>
    <t>Közművelődési szakfeladat</t>
  </si>
  <si>
    <t>79/2004. (IV.29.)</t>
  </si>
  <si>
    <t>2005., 2006. és a 2007. évi költségvetés</t>
  </si>
  <si>
    <t>280/2004. (XII.16.)</t>
  </si>
  <si>
    <t xml:space="preserve">min.: 8.000 </t>
  </si>
  <si>
    <t>min.: 4.000</t>
  </si>
  <si>
    <t>2005-2006. évi költségvetés</t>
  </si>
  <si>
    <t>min.: 8.000</t>
  </si>
  <si>
    <t>92/2006. (IV.24.)</t>
  </si>
  <si>
    <t xml:space="preserve">Közvetlen támogatás nyújtása az art mozi részére </t>
  </si>
  <si>
    <t>2006., 2007., 2008. évi költségvetés</t>
  </si>
  <si>
    <t xml:space="preserve">Közvetlen támogatás nyújtása az art mozi részére az Önkormányzat oktatási intézményein keresztül </t>
  </si>
  <si>
    <t>107/2006. (IV.27.)</t>
  </si>
  <si>
    <t>Az egy lakosra jutó hitelfelvétel</t>
  </si>
  <si>
    <t>Hitel / Kötvény igénybevétel</t>
  </si>
  <si>
    <t>Városi Művelődési és Zenei Központ épületének elnevezéséhez kapcsolódó pályázat díjazása</t>
  </si>
  <si>
    <t>Alapítványok, saját intézmények és egyéb feladatok</t>
  </si>
  <si>
    <t>Szolnok Megyei Jogú Város Önkormányzat bevételei 2000-2009. években</t>
  </si>
  <si>
    <t>2007/2000.</t>
  </si>
  <si>
    <t>Bevételek szerkezete 2000-2009. években</t>
  </si>
  <si>
    <t>Szolnok Megyei Jogú Város Önkormányzat helyi adóbevételeinek néhány adata 2000 - 2009. években</t>
  </si>
  <si>
    <t>Szolnok Megyei Jogú Város Önkormányzatának vagyonhasznosításból származó bevételeinek összege 2000-2009. években</t>
  </si>
  <si>
    <t xml:space="preserve">Szolnok Megyei Jogú Város Önkormányzatának vagyonhasznosításból származó tényleges bevételeinek szerkezete 2000-2009. években </t>
  </si>
  <si>
    <t>192/1998. (IX.10.)</t>
  </si>
  <si>
    <t>1.000e Ft/év</t>
  </si>
  <si>
    <t>mindenkori költségvetés</t>
  </si>
  <si>
    <t>Z-12/2002. (II.28.)</t>
  </si>
  <si>
    <t>TVM lakótelep megvásárlásáról</t>
  </si>
  <si>
    <t>2003-2007. évi költségvetés</t>
  </si>
  <si>
    <t>186/2003. (VI.26.)</t>
  </si>
  <si>
    <t>152/2005. (III.31.)</t>
  </si>
  <si>
    <t>éves költségvetés</t>
  </si>
  <si>
    <t>153/2005. (III.31.)</t>
  </si>
  <si>
    <t>400/2005. (X.27.)</t>
  </si>
  <si>
    <t>2005., 2006., 2007. évi költségvetések</t>
  </si>
  <si>
    <t>13/2006. (I.26.)</t>
  </si>
  <si>
    <t>Decentralizált települési önkormányzati szilárd burkolatú belterületi közuatk burkolatfelújítására " irányuló támogatás elnyerésére Gorkij u. - Vörösmező u. útvonal felújítására pályázat benyújtásáról és az önerő biztosításáról</t>
  </si>
  <si>
    <t xml:space="preserve">2006., 2007. évi költségvetés </t>
  </si>
  <si>
    <t>15/2006. (I.26.)</t>
  </si>
  <si>
    <t>Decentralizált települési önkormányzati szilárd burkolatú belterületi közuatk burkolatfelújítására " irányuló támogatás elnyerésére Százados u. - Véső u. útvonal felújítására pályázat benyújtásáról és az önerő biztosításáról</t>
  </si>
  <si>
    <t>16/2006. (I.26.)</t>
  </si>
  <si>
    <t>Decentralizált települési önkormányzati szilárd burkolatú belterületi közuatk burkolatfelújítására " irányuló támogatás elnyerésére Béke út felújítására pályázat benyújtásáról és az önerő biztosításáról</t>
  </si>
  <si>
    <t>17/2006. (I.26.)</t>
  </si>
  <si>
    <t>Decentralizált települési önkormányzati szilárd burkolatú belterületi közuatk burkolatfelújítására " irányuló támogatás elnyerésére Üteg út felújítására pályázat benyújtásáról és az önerő biztosításáról</t>
  </si>
  <si>
    <t>18/2006. (I.26.)</t>
  </si>
  <si>
    <t>Decentralizált települési önkormányzati szilárd burkolatú belterületi közuatk burkolatfelújítására " irányuló támogatás elnyerésére Vadász u. - Halom u. útvonal felújítására pályázat benyújtásáról és az önerő biztosításáról</t>
  </si>
  <si>
    <t xml:space="preserve">23/2006. (I.6.) </t>
  </si>
  <si>
    <t>hitel felvétel</t>
  </si>
  <si>
    <t>94/2006. (IV.24.)</t>
  </si>
  <si>
    <t>95/2006. (IV.24.)</t>
  </si>
  <si>
    <t>2006., 2007-2009. évi költségvetés</t>
  </si>
  <si>
    <t>97/2006. (IV.24.)</t>
  </si>
  <si>
    <t>éves költségvetés (155.520 eFt), valamint a 2007. évi költségvetés (19.900 eFt)</t>
  </si>
  <si>
    <t>éves költségvetés (76.912 eFt), valamint a 2007. évi költségvetés (12.800 eFt)</t>
  </si>
  <si>
    <t>130/2006. (IV.27.)</t>
  </si>
  <si>
    <t>A szolnoki gyalogos- és kerékpáros híd megvalósításához szükséges pénzügyi fedezet biztosítása</t>
  </si>
  <si>
    <t>Uniós pályázat útján</t>
  </si>
  <si>
    <t>Bevételi mérleg főösszeg</t>
  </si>
  <si>
    <t xml:space="preserve">                 melyből:  helyi adóbevétel </t>
  </si>
  <si>
    <t xml:space="preserve">     Ebből: Önkormányzat sajátos működési bevétele</t>
  </si>
  <si>
    <t>Helyi adó bevétel / Bevételi mérleg főösszeg  (%)</t>
  </si>
  <si>
    <t>Önkormányzat sajátos működési bevétele / Bevételi mérleg főösszeg (%)</t>
  </si>
  <si>
    <t xml:space="preserve">Átengedett központi adók </t>
  </si>
  <si>
    <t>Hitel/Kötvény igénybevétel + forráshiány</t>
  </si>
  <si>
    <t>267/2006 (X.26)</t>
  </si>
  <si>
    <t>közlekedésbiztonsági kerékpárút építés</t>
  </si>
  <si>
    <t>mindösszesen</t>
  </si>
  <si>
    <r>
      <t xml:space="preserve">Közparkok, illetve játszóterek felújítási programjának végrehajtása (2. sz. melléklet) - </t>
    </r>
    <r>
      <rPr>
        <i/>
        <u val="single"/>
        <sz val="10"/>
        <rFont val="Times New Roman"/>
        <family val="1"/>
      </rPr>
      <t>hatályban tartja újabb határidő megjelölése nélkül: 471/2005. (XII.15.) sz. határozat</t>
    </r>
  </si>
  <si>
    <t>adatok ezer Ft-ban</t>
  </si>
  <si>
    <t>adatok millió Ft-ban</t>
  </si>
  <si>
    <t xml:space="preserve">iparűzési adóból befolyt/várható összeg </t>
  </si>
  <si>
    <t>építmény adóból befolyt összeg</t>
  </si>
  <si>
    <t>Államtól működésre kapott</t>
  </si>
  <si>
    <r>
      <t xml:space="preserve">Iparosított technológiával épült lakóépületek energiatakarékos korszerűsítésének, felújításásnak és a lakóépületek környzete felújításának támogatása (Szolnok, Bajcsy Zs. u. 8-16. szám alatti társasház) - </t>
    </r>
    <r>
      <rPr>
        <i/>
        <u val="single"/>
        <sz val="10"/>
        <rFont val="Times New Roman"/>
        <family val="1"/>
      </rPr>
      <t>Önkormányzat által biztosított forrás</t>
    </r>
  </si>
  <si>
    <r>
      <t xml:space="preserve">Iparosított technológiával épült lakóépületek energiatakarékos korszerűsítésének, felújításásnak és a lakóépületek környzete felújításának támogatása (Szolnok, Kassák L.U.13. szám alatti társasház) - </t>
    </r>
    <r>
      <rPr>
        <i/>
        <u val="single"/>
        <sz val="10"/>
        <rFont val="Times New Roman"/>
        <family val="1"/>
      </rPr>
      <t>Önkormányzat által biztosított forrás</t>
    </r>
  </si>
  <si>
    <r>
      <t xml:space="preserve">Iparosított technológiával épült lakóépületek energiatakarékos korszerűsítésének, felújításásnak és a lakóépületek környzete felújításának támogatása (Szolnok, Gorkíj út 38 szám alatti társasház) - </t>
    </r>
    <r>
      <rPr>
        <i/>
        <u val="single"/>
        <sz val="10"/>
        <rFont val="Times New Roman"/>
        <family val="1"/>
      </rPr>
      <t>Önkormányzat által biztosított forrás</t>
    </r>
  </si>
  <si>
    <r>
      <t xml:space="preserve">Iparosított technológiával épült lakóépületek energiatakarékos korszerűsítésének, felújításásnak és a lakóépületek környzete felújításának támogatása (Szolnok, Nagy I.krt 12-18 szám alatti társasház) - </t>
    </r>
    <r>
      <rPr>
        <i/>
        <u val="single"/>
        <sz val="10"/>
        <rFont val="Times New Roman"/>
        <family val="1"/>
      </rPr>
      <t>Önkormányzat által biztosított forrás</t>
    </r>
  </si>
  <si>
    <r>
      <t xml:space="preserve">Iparosított technológiával épült lakóépületek energiatakarékos korszerűsítésének, felújításásnak és a lakóépületek környzete felújításának támogatása (Szolnok, Pozsonyi u.65. szám alatti társasház) - </t>
    </r>
    <r>
      <rPr>
        <i/>
        <u val="single"/>
        <sz val="10"/>
        <rFont val="Times New Roman"/>
        <family val="1"/>
      </rPr>
      <t>Önkormányzat által biztosított forrás</t>
    </r>
  </si>
  <si>
    <r>
      <t xml:space="preserve">Iparosított technológiával épült lakóépületek energiatakarékos korszerűsítésének, felújításásnak és a lakóépületek környzete felújításának támogatása (Szolnok, Zagyvaparti sétány 1-3.  szám alatti társasház) - </t>
    </r>
    <r>
      <rPr>
        <i/>
        <u val="single"/>
        <sz val="10"/>
        <rFont val="Times New Roman"/>
        <family val="1"/>
      </rPr>
      <t>Önkormányzat által biztosított forrás</t>
    </r>
  </si>
  <si>
    <t>Kötvény igénybevétel</t>
  </si>
  <si>
    <r>
      <t xml:space="preserve">Közvetlen támogatás nyújtása az art mozi költségeinek 15%-os fedezetére - </t>
    </r>
    <r>
      <rPr>
        <i/>
        <u val="single"/>
        <sz val="10"/>
        <rFont val="Times New Roman"/>
        <family val="1"/>
      </rPr>
      <t>hatályban tartja 2007. március 1-ig:</t>
    </r>
    <r>
      <rPr>
        <i/>
        <sz val="10"/>
        <rFont val="Times New Roman"/>
        <family val="1"/>
      </rPr>
      <t xml:space="preserve"> 33/2006. (I.26.) sz. közgyűlési határozat </t>
    </r>
  </si>
  <si>
    <r>
      <t xml:space="preserve">Közvetlen támogatás nyújtása az art mozi költségeinek 15%-os fedezetére az </t>
    </r>
    <r>
      <rPr>
        <i/>
        <u val="single"/>
        <sz val="10"/>
        <rFont val="Times New Roman"/>
        <family val="1"/>
      </rPr>
      <t>Önkormányzat oktatási intézményein keresztül</t>
    </r>
    <r>
      <rPr>
        <sz val="10"/>
        <rFont val="Times New Roman"/>
        <family val="1"/>
      </rPr>
      <t xml:space="preserve"> - </t>
    </r>
    <r>
      <rPr>
        <i/>
        <u val="single"/>
        <sz val="10"/>
        <rFont val="Times New Roman"/>
        <family val="1"/>
      </rPr>
      <t>hatályban tartja 2007. március 1-ig:</t>
    </r>
    <r>
      <rPr>
        <i/>
        <sz val="10"/>
        <rFont val="Times New Roman"/>
        <family val="1"/>
      </rPr>
      <t xml:space="preserve"> 33/2006. (I.26.) sz. közgyűlési határozat </t>
    </r>
  </si>
  <si>
    <r>
      <t xml:space="preserve">Szolnoki Művészeti Egyesület 2005-2006. évi működtetéséről - </t>
    </r>
    <r>
      <rPr>
        <i/>
        <u val="single"/>
        <sz val="10"/>
        <rFont val="Times New Roman"/>
        <family val="1"/>
      </rPr>
      <t>hatályban tartja:</t>
    </r>
    <r>
      <rPr>
        <i/>
        <sz val="10"/>
        <rFont val="Times New Roman"/>
        <family val="1"/>
      </rPr>
      <t xml:space="preserve"> 135/2005. (II.24.) sz. közgyűlési határozat</t>
    </r>
  </si>
  <si>
    <r>
      <t xml:space="preserve">Esély a Díjhátralékosok Közalapítvány támogatása (25/1999. (II.25.) sz. és a84/1999. (IV.22.) sz. közgyűlési határozatokkal egységes szerkezetben) - újabb határidő megjelölése nélkül </t>
    </r>
    <r>
      <rPr>
        <i/>
        <u val="single"/>
        <sz val="10"/>
        <rFont val="Times New Roman"/>
        <family val="1"/>
      </rPr>
      <t>hatályban tartja:</t>
    </r>
    <r>
      <rPr>
        <i/>
        <sz val="10"/>
        <rFont val="Times New Roman"/>
        <family val="1"/>
      </rPr>
      <t xml:space="preserve"> 178/2002. (IX.26.) sz.</t>
    </r>
  </si>
  <si>
    <r>
      <t xml:space="preserve">Szolnok Város úthálózat-fejlesztési koncepciójának kiegészítése - </t>
    </r>
    <r>
      <rPr>
        <i/>
        <sz val="10"/>
        <rFont val="Times New Roman"/>
        <family val="1"/>
      </rPr>
      <t>217/1999. (XII.16.) sz. közgyűlési határozat mellékleteinek kiegészítése</t>
    </r>
  </si>
  <si>
    <r>
      <t xml:space="preserve">A Szigligeti Színház, a Szobaszínház és a műhelyház épület rekonstrukciója és műszaki fejlesztése céljából 2006. évi címzett állami támogatási igény bejelentéséhez szükséges beruházási koncepció benyújtásáról - </t>
    </r>
    <r>
      <rPr>
        <i/>
        <u val="single"/>
        <sz val="10"/>
        <rFont val="Times New Roman"/>
        <family val="1"/>
      </rPr>
      <t xml:space="preserve">"A" alternatíva </t>
    </r>
    <r>
      <rPr>
        <sz val="10"/>
        <rFont val="Times New Roman"/>
        <family val="1"/>
      </rPr>
      <t>- saját forrás</t>
    </r>
  </si>
  <si>
    <r>
      <t xml:space="preserve">A Szigligeti Színház, a Szobaszínház és a műhelyház épület rekonstrukciója és műszaki fejlesztése céljából 2006. évi címzett állami támogatási igény bejelentéséhez szükséges beruházási koncepció benyújtásáról - "B" </t>
    </r>
    <r>
      <rPr>
        <i/>
        <u val="single"/>
        <sz val="10"/>
        <rFont val="Times New Roman"/>
        <family val="1"/>
      </rPr>
      <t>alternatíva</t>
    </r>
    <r>
      <rPr>
        <sz val="10"/>
        <rFont val="Times New Roman"/>
        <family val="1"/>
      </rPr>
      <t xml:space="preserve"> - saját forrás</t>
    </r>
  </si>
  <si>
    <r>
      <t xml:space="preserve">A Kaán K. út 20. szám alatti Idősek Otthona épületeinek bővítése céljából a 2006. évi címzett támogatási igény bejelentéséhez szükséges beruházási koncepció benyújtása - </t>
    </r>
    <r>
      <rPr>
        <i/>
        <u val="single"/>
        <sz val="10"/>
        <rFont val="Times New Roman"/>
        <family val="1"/>
      </rPr>
      <t xml:space="preserve">"A" alternatíva - </t>
    </r>
    <r>
      <rPr>
        <sz val="10"/>
        <rFont val="Times New Roman"/>
        <family val="1"/>
      </rPr>
      <t>saját forrás</t>
    </r>
  </si>
  <si>
    <r>
      <t xml:space="preserve">Gépipari Szki Szolnok, Baross G. úti épületegyütteséne rekonstrukciója és bővítése (2005. évi címzett állami támogatás igénybevétele) </t>
    </r>
    <r>
      <rPr>
        <u val="single"/>
        <sz val="10"/>
        <rFont val="Times New Roman"/>
        <family val="1"/>
      </rPr>
      <t>módosítása:</t>
    </r>
    <r>
      <rPr>
        <sz val="10"/>
        <rFont val="Times New Roman"/>
        <family val="1"/>
      </rPr>
      <t xml:space="preserve"> a 48/2004. (III.25.) sz. és a 259/2004. (XI.25.) sz. közgyűlési határozatoknak</t>
    </r>
  </si>
  <si>
    <r>
      <t xml:space="preserve">ROP.2.2.1. Városi Területek Rehabilitációja pályázathoz kapcsolódó BM önerő alapra pályázat benyújtása </t>
    </r>
    <r>
      <rPr>
        <i/>
        <sz val="10"/>
        <rFont val="Times New Roman"/>
        <family val="1"/>
      </rPr>
      <t>(</t>
    </r>
    <r>
      <rPr>
        <i/>
        <u val="single"/>
        <sz val="10"/>
        <rFont val="Times New Roman"/>
        <family val="1"/>
      </rPr>
      <t>módosítása:</t>
    </r>
    <r>
      <rPr>
        <i/>
        <sz val="10"/>
        <rFont val="Times New Roman"/>
        <family val="1"/>
      </rPr>
      <t xml:space="preserve"> a 346/2005. (VIII.25.), illetve 23/2006. (I.26.) sz. közgyűlési határozatoknak)</t>
    </r>
  </si>
  <si>
    <r>
      <t>Szolnok város belterületi csapadékvíz elvezetés megvalósítására 2007. évre címzett támogatási igényhez beruházási koncepció és megvalósíthatósági tanulmány benyújtásáról -</t>
    </r>
    <r>
      <rPr>
        <b/>
        <i/>
        <u val="single"/>
        <sz val="10"/>
        <rFont val="Times New Roman"/>
        <family val="1"/>
      </rPr>
      <t xml:space="preserve"> I. változat</t>
    </r>
    <r>
      <rPr>
        <sz val="10"/>
        <rFont val="Times New Roman"/>
        <family val="1"/>
      </rPr>
      <t xml:space="preserve"> (saját forrás)</t>
    </r>
  </si>
  <si>
    <r>
      <t>Szolnok város belterületi csapadékvíz elvezetés megvalósítására 2007. évre címzett támogatási igényhez beruházási koncepció és megvalósíthatósági tanulmány benyújtásáról -</t>
    </r>
    <r>
      <rPr>
        <b/>
        <i/>
        <u val="single"/>
        <sz val="10"/>
        <rFont val="Times New Roman"/>
        <family val="1"/>
      </rPr>
      <t xml:space="preserve"> II. változat</t>
    </r>
    <r>
      <rPr>
        <sz val="10"/>
        <rFont val="Times New Roman"/>
        <family val="1"/>
      </rPr>
      <t xml:space="preserve"> (saját forrás)</t>
    </r>
  </si>
  <si>
    <r>
      <t xml:space="preserve">Szolnok, Baross G. utca 68. szám alatti Városi Kollégium bővítése, korszerűsítése céljából 2007. évi címzett állami támogatási igény bejelentéséhez szükséges beruházási koncepció benyújtásáról - </t>
    </r>
    <r>
      <rPr>
        <b/>
        <u val="single"/>
        <sz val="10"/>
        <rFont val="Times New Roman"/>
        <family val="1"/>
      </rPr>
      <t>I. sz. változat</t>
    </r>
  </si>
  <si>
    <r>
      <t xml:space="preserve">Szolnok, Baross G. utca 68. szám alatti Városi Kollégium bővítése, korszerűsítése céljából 2007. évi címzett állami támogatási igény bejelentéséhez szükséges beruházási koncepció benyújtásáról - </t>
    </r>
    <r>
      <rPr>
        <b/>
        <u val="single"/>
        <sz val="10"/>
        <rFont val="Times New Roman"/>
        <family val="1"/>
      </rPr>
      <t>II. sz. változat</t>
    </r>
  </si>
  <si>
    <r>
      <t xml:space="preserve">Szigligeti Színház rekonstrukciója és műszaki fejlesztése céljából 2007. évi címzett állami támogatási igény bejelentéséhez szükséges beruházási koncepció benyújtásáról - </t>
    </r>
    <r>
      <rPr>
        <b/>
        <u val="single"/>
        <sz val="10"/>
        <rFont val="Times New Roman"/>
        <family val="1"/>
      </rPr>
      <t>1. változat</t>
    </r>
  </si>
  <si>
    <t>Nem szolnoki tanulók aránya     %</t>
  </si>
  <si>
    <t>Nem szolnoki tanulók aránya      %</t>
  </si>
  <si>
    <t>Változatlan (2002. évi)  gyerekszám mellett 2006 normatívával</t>
  </si>
  <si>
    <t>2002 évi létszám*2006. évi normatíva</t>
  </si>
  <si>
    <t>2006 évi létszám*2006. évi normatíva</t>
  </si>
  <si>
    <t>Arány %</t>
  </si>
  <si>
    <t>Államtól működésre kapott millió Ft</t>
  </si>
  <si>
    <t>Intézményi bér és járulék millió Ft</t>
  </si>
  <si>
    <t>Évek</t>
  </si>
  <si>
    <t>1998.év</t>
  </si>
  <si>
    <t>1999.év</t>
  </si>
  <si>
    <t>2000.év</t>
  </si>
  <si>
    <t>2001.év</t>
  </si>
  <si>
    <t>2002.év</t>
  </si>
  <si>
    <t>2003.év</t>
  </si>
  <si>
    <t>2004.év</t>
  </si>
  <si>
    <t>2005.év</t>
  </si>
  <si>
    <t>2006.év</t>
  </si>
  <si>
    <t>2007.év</t>
  </si>
  <si>
    <t>építmény adóból befolyt összeg (mFt )</t>
  </si>
  <si>
    <t>iparűzési adóból befolyt összeg (mFt )</t>
  </si>
  <si>
    <t>Szolnok Megyei Jogú Város Önkormányzati kiadásai összesen 1998-2007. években</t>
  </si>
  <si>
    <t>Szolnok Megyei Jogú Város Önkormányzati kiadás összetételének aránya 1998-2007. években</t>
  </si>
  <si>
    <t>Önkormányzati kiadásból intézményi kiadás 2000-2007. években</t>
  </si>
  <si>
    <t>Intézményi kiadások összetételének aránya 2000-2007. években</t>
  </si>
  <si>
    <t>Az összes kiadáson belül az intézményi kiadások aránya 2000-2007. években</t>
  </si>
  <si>
    <t>Szolnok Megyei Jogú Város Polgármesteri hivatal kiadásai 2000-2007. években</t>
  </si>
  <si>
    <t>Szolnok Megyei Jogú Város Önkormányzati költségvetési hiányának alakulása 1998-2007. években</t>
  </si>
  <si>
    <t>Az  összes bér és járulékkiadás  aránya az államtól működére kapott támogatáson belül 2000-2006</t>
  </si>
  <si>
    <t xml:space="preserve">Önkormányzati bér és járulék </t>
  </si>
  <si>
    <t>Az intézményi bér és járulékkiadás  aránya az államtól működére kapott támogatáson belül 2000-2006</t>
  </si>
  <si>
    <t>Tényleges hiány miilió Ft</t>
  </si>
  <si>
    <t>Tervezett hitel felvétel</t>
  </si>
  <si>
    <t>Kötelezettségek</t>
  </si>
  <si>
    <t>Rövid lejáratú hitelek</t>
  </si>
  <si>
    <t>Hosszú lejáratú hitel+ kölcsön</t>
  </si>
  <si>
    <t>Szállítói állomány alakulása</t>
  </si>
  <si>
    <t>Vagyonhasznosítási bevételek mindösszesen (6+7+8+9)</t>
  </si>
  <si>
    <t>Egyéb vagyonhasznosítási bevétel</t>
  </si>
  <si>
    <t>Ingatlan értékesítés összesen</t>
  </si>
  <si>
    <t>Iparűzési adó mértéke</t>
  </si>
  <si>
    <t>Építmányadó mértéke</t>
  </si>
  <si>
    <t xml:space="preserve">2003 évi létszám </t>
  </si>
  <si>
    <t>Normatíva véltozás hatása</t>
  </si>
  <si>
    <t>Létszám változás hatása</t>
  </si>
  <si>
    <t>Igénybe vett állami támogatás ezer Ft-ban</t>
  </si>
  <si>
    <t>Változások hatásának bemutatása</t>
  </si>
  <si>
    <t>2/c. melléklet</t>
  </si>
  <si>
    <t>3/a. melléklet</t>
  </si>
  <si>
    <t>Megnevezése</t>
  </si>
  <si>
    <t>grafikonhoz</t>
  </si>
  <si>
    <t>4. sz. melléklet</t>
  </si>
  <si>
    <t>Hitelek záróállománya</t>
  </si>
  <si>
    <t>2007. évi terv</t>
  </si>
  <si>
    <t xml:space="preserve">Az egy lakosra jutó összes költségvetési bevétel </t>
  </si>
  <si>
    <t xml:space="preserve">Az egy lakosra jutó saját bevétel </t>
  </si>
  <si>
    <t xml:space="preserve">Az egy lakosra jutó helyi adóbevétel </t>
  </si>
  <si>
    <t xml:space="preserve">     Ebből: felhalmozási célú kiadás </t>
  </si>
  <si>
    <t xml:space="preserve">Az egy lakosra jutó felhalmozási kiadás </t>
  </si>
  <si>
    <t>Az összes tervezett  költségvetési kiadás</t>
  </si>
  <si>
    <t xml:space="preserve">Az egy lakosra jutó költségvetési kiadás </t>
  </si>
  <si>
    <t>T é n y</t>
  </si>
  <si>
    <t>2007 terv</t>
  </si>
  <si>
    <t>2007. terv</t>
  </si>
  <si>
    <r>
      <t>900 Ft/m</t>
    </r>
    <r>
      <rPr>
        <vertAlign val="superscript"/>
        <sz val="10"/>
        <rFont val="Times New Roman"/>
        <family val="1"/>
      </rPr>
      <t>2</t>
    </r>
  </si>
  <si>
    <r>
      <t>200 Ft/m</t>
    </r>
    <r>
      <rPr>
        <vertAlign val="superscript"/>
        <sz val="10"/>
        <rFont val="Times New Roman"/>
        <family val="1"/>
      </rPr>
      <t>2</t>
    </r>
  </si>
  <si>
    <r>
      <t>500 Ft/m</t>
    </r>
    <r>
      <rPr>
        <vertAlign val="superscript"/>
        <sz val="10"/>
        <rFont val="Times New Roman"/>
        <family val="1"/>
      </rPr>
      <t>2</t>
    </r>
  </si>
  <si>
    <t>Költségvetésben teljesült/tervezett adóbevétel (millió Ft-ban)</t>
  </si>
  <si>
    <t>Az  összes bér és járulékkiadás  aránya az államtól működére kapott támogatáson belül 2000-2007. években</t>
  </si>
  <si>
    <t>Az intézményi bér és járulékkiadás  aránya az államtól működére kapott támogatáson belül 2000-2007. években</t>
  </si>
  <si>
    <t>Működési forráshiány</t>
  </si>
  <si>
    <t>Felhalmozási forráshiány</t>
  </si>
  <si>
    <t>Összes hiány</t>
  </si>
  <si>
    <t>6. sz. melléklet</t>
  </si>
  <si>
    <t>6/a. sz. melléklet</t>
  </si>
  <si>
    <t xml:space="preserve">Befektetések ismertetése </t>
  </si>
  <si>
    <t>Összalaptőke
/jegyzett tőke/
Ft</t>
  </si>
  <si>
    <t>Bekerülési
érték
Ft</t>
  </si>
  <si>
    <t>Önkormányzat
részesedése</t>
  </si>
  <si>
    <t>önkormányzati támogatás összege 2005.év</t>
  </si>
  <si>
    <t>önkormányzati tám.összege 2006.év</t>
  </si>
  <si>
    <t>2005.dec.31-i
nyilvántartási érték
Ft</t>
  </si>
  <si>
    <t>osztalékfizetésre vonatkozó adatok 2005.év</t>
  </si>
  <si>
    <t>Szollak Kft</t>
  </si>
  <si>
    <t>Logiszol Kft.</t>
  </si>
  <si>
    <t>Ipari Park Kft.</t>
  </si>
  <si>
    <t xml:space="preserve">Városi Művelődési Központ Kht. </t>
  </si>
  <si>
    <t>Munkalehetőség a jövőért Kht.</t>
  </si>
  <si>
    <t>Sportcentrum Kht.</t>
  </si>
  <si>
    <t>Remondis Kétpó Kft.</t>
  </si>
  <si>
    <t>Ész.-Alf. Region.Termálv.KHT.</t>
  </si>
  <si>
    <t>Összesen:</t>
  </si>
  <si>
    <t xml:space="preserve">2006.november </t>
  </si>
  <si>
    <t>Üzletrészek</t>
  </si>
  <si>
    <t>7/a. sz. melléklet</t>
  </si>
  <si>
    <t>Névérték
db/Ft</t>
  </si>
  <si>
    <t>Sorszám</t>
  </si>
  <si>
    <t>Összes.
névérték
Ft</t>
  </si>
  <si>
    <t>Eredeti nyilvántartási érték
Beszerzési érték
Ft</t>
  </si>
  <si>
    <t>önkormányzat részesedése %</t>
  </si>
  <si>
    <t>önkormányzati támogatás összege 2005</t>
  </si>
  <si>
    <t>2005.dec.31-i
nyilvántartási
érték
Ft</t>
  </si>
  <si>
    <t>osztalék fizetésére vonatkozüó adatok 2005.év.</t>
  </si>
  <si>
    <t xml:space="preserve">AGROKER Rt. *      </t>
  </si>
  <si>
    <t>12/1000</t>
  </si>
  <si>
    <t>379990-379996</t>
  </si>
  <si>
    <t>nem fizet</t>
  </si>
  <si>
    <t>379461-379462</t>
  </si>
  <si>
    <t>379742-379744</t>
  </si>
  <si>
    <t>10/10 000</t>
  </si>
  <si>
    <t>379691-379730</t>
  </si>
  <si>
    <t>379541-379550</t>
  </si>
  <si>
    <t>379491-379500</t>
  </si>
  <si>
    <t>149/100 000</t>
  </si>
  <si>
    <t>370801-370900</t>
  </si>
  <si>
    <t>277401-277500</t>
  </si>
  <si>
    <t>292101-292200</t>
  </si>
  <si>
    <t>8/1 000 000</t>
  </si>
  <si>
    <t>269001-277000</t>
  </si>
  <si>
    <t>AMFORA Rt.</t>
  </si>
  <si>
    <t>2/1.000.000</t>
  </si>
  <si>
    <t>0190001-0192000</t>
  </si>
  <si>
    <t>5/100.000</t>
  </si>
  <si>
    <t>0343701-0344200</t>
  </si>
  <si>
    <t>9/10.000</t>
  </si>
  <si>
    <t>0348431-0348520</t>
  </si>
  <si>
    <t>1/1.000</t>
  </si>
  <si>
    <t>Remondis Szolnok Zrt.</t>
  </si>
  <si>
    <t>5/10.000.000</t>
  </si>
  <si>
    <t>0000601-0001100</t>
  </si>
  <si>
    <t>34.986.000</t>
  </si>
  <si>
    <t>4/1.000.000</t>
  </si>
  <si>
    <t>0001111-0001150</t>
  </si>
  <si>
    <t>0001192-0001196</t>
  </si>
  <si>
    <t>Szolnok TV ZRt.</t>
  </si>
  <si>
    <t>Dohányfermentáló Rt</t>
  </si>
  <si>
    <t>5061/10.000</t>
  </si>
  <si>
    <t>000096922-000101982</t>
  </si>
  <si>
    <t>CITY Rt.</t>
  </si>
  <si>
    <t>90/100.000</t>
  </si>
  <si>
    <t>A0244201-0253200</t>
  </si>
  <si>
    <t>Részesedések</t>
  </si>
  <si>
    <t>* 2005.április 1.napján kelt  végzésben a felszámolási eljárás befejeződött.</t>
  </si>
  <si>
    <t>Befektetések ismertetése</t>
  </si>
  <si>
    <t>7/b. sz. melléklet</t>
  </si>
  <si>
    <t>A település állandó lakosainak száma (fő) az év január 1-jén</t>
  </si>
  <si>
    <t>Az összes költségvetési kiadásból a felhalmozási kiadás részaránya (%)</t>
  </si>
  <si>
    <t xml:space="preserve">Az Önkormányzat által fenntartott költségvetési intézmények száma </t>
  </si>
  <si>
    <t xml:space="preserve">     Ebből: részben önállóan gazdálkodó (db)</t>
  </si>
  <si>
    <t>Az Önkormányzat által fenntartott költségvetési intézményekben foglalkoztatott alkalmazottak száma január 1-én (fő)</t>
  </si>
  <si>
    <t>8. sz. melléklet</t>
  </si>
  <si>
    <t>Mérlegsor
megnevezése</t>
  </si>
  <si>
    <t>2002.év
(ezer Ft)</t>
  </si>
  <si>
    <t>2003. év
(ezer Ft)</t>
  </si>
  <si>
    <t>2004. év
(ezer Ft)</t>
  </si>
  <si>
    <t>2005. év
(ezer Ft)</t>
  </si>
  <si>
    <t>Változás %-a</t>
  </si>
  <si>
    <t>2003/2002.</t>
  </si>
  <si>
    <t>2004/2003.</t>
  </si>
  <si>
    <t>2005/2004</t>
  </si>
  <si>
    <t>2005/2002.</t>
  </si>
  <si>
    <t>Immateriális javak</t>
  </si>
  <si>
    <t>Tárgyi eszközök</t>
  </si>
  <si>
    <r>
      <t>ebből:</t>
    </r>
    <r>
      <rPr>
        <i/>
        <sz val="11"/>
        <rFont val="Times New Roman CE"/>
        <family val="1"/>
      </rPr>
      <t xml:space="preserve"> ingatlanok</t>
    </r>
  </si>
  <si>
    <t xml:space="preserve">           beruházások</t>
  </si>
  <si>
    <t>Befektetett pénzügyi eszközök</t>
  </si>
  <si>
    <t>Üzemeltetésre átadott eszközök</t>
  </si>
  <si>
    <t>Befektetett eszközök összesen</t>
  </si>
  <si>
    <t>Forgóeszközök összesen</t>
  </si>
  <si>
    <r>
      <t>ebből:</t>
    </r>
    <r>
      <rPr>
        <i/>
        <sz val="11"/>
        <rFont val="Times New Roman CE"/>
        <family val="1"/>
      </rPr>
      <t xml:space="preserve"> követelések </t>
    </r>
  </si>
  <si>
    <t xml:space="preserve">          pénzeszközök</t>
  </si>
  <si>
    <t>Eszközök összesen</t>
  </si>
  <si>
    <t>Saját tőke összesen</t>
  </si>
  <si>
    <t>Tartalék összesen</t>
  </si>
  <si>
    <t>Kötelezettségek összesen</t>
  </si>
  <si>
    <r>
      <t>ebből:</t>
    </r>
    <r>
      <rPr>
        <i/>
        <sz val="11"/>
        <rFont val="Times New Roman CE"/>
        <family val="1"/>
      </rPr>
      <t xml:space="preserve"> rövid lejáratú kötelezettségek</t>
    </r>
  </si>
  <si>
    <t xml:space="preserve">          hosszú lejáratú kötelezettségek</t>
  </si>
  <si>
    <t>Források összesen:</t>
  </si>
  <si>
    <r>
      <t>Forrás:</t>
    </r>
    <r>
      <rPr>
        <sz val="10"/>
        <rFont val="Arial CE"/>
        <family val="2"/>
      </rPr>
      <t xml:space="preserve"> Magyar Államkincstár Fejlesztési Igazgatóság éves költségvetési beszámoló "01" számú űrlap adatai</t>
    </r>
  </si>
  <si>
    <t>Az önkormányzati vagyon nagyságának alakulása 2002-2005</t>
  </si>
  <si>
    <t>Hosszúlejáratú követelések</t>
  </si>
  <si>
    <t>Vevőkövetelések értékvesztése</t>
  </si>
  <si>
    <t>Vevőkövetelések</t>
  </si>
  <si>
    <t xml:space="preserve">2005.10.01-i  és  2006.10.01-i statisztika szerinti összes létszám és ebből a  bejáró létszám </t>
  </si>
  <si>
    <t>Összes vidéki tanuló nappali (bejáró és kollégista együtt)</t>
  </si>
  <si>
    <t>Nappali 2005</t>
  </si>
  <si>
    <t>Nappali 2006</t>
  </si>
  <si>
    <t>Esti és levelező 2005</t>
  </si>
  <si>
    <t>Esti és levelező 2006</t>
  </si>
  <si>
    <t>2005 (fő)</t>
  </si>
  <si>
    <t>2006(fő)</t>
  </si>
  <si>
    <t>2005 (%)</t>
  </si>
  <si>
    <t>2006(%)</t>
  </si>
  <si>
    <t>Nem szolnoki tanulók aránya</t>
  </si>
  <si>
    <t>Kiadásból</t>
  </si>
  <si>
    <t>Hrsz</t>
  </si>
  <si>
    <t>Cím</t>
  </si>
  <si>
    <t>Forgalomképesség</t>
  </si>
  <si>
    <t>Jelzálog értéke</t>
  </si>
  <si>
    <t>Kedvezményezett</t>
  </si>
  <si>
    <t>Megjegyzés</t>
  </si>
  <si>
    <t>963/A/1</t>
  </si>
  <si>
    <t>Szapáry u. 28.</t>
  </si>
  <si>
    <t>Forgalomképes</t>
  </si>
  <si>
    <t>Forrás Vagyonkezelési és Befektetési Rt.</t>
  </si>
  <si>
    <t>1949/29/A/17</t>
  </si>
  <si>
    <t>Ságvári krt. 52.</t>
  </si>
  <si>
    <t>1981/14/A/3</t>
  </si>
  <si>
    <t>Ságvári krt. 13.</t>
  </si>
  <si>
    <t>Környzetvédelmi és Vízügyi Minisztérium</t>
  </si>
  <si>
    <t>2057/1/A/43</t>
  </si>
  <si>
    <t>Kossuth tér 5.</t>
  </si>
  <si>
    <t>Magyar Fejlesztéi Bank Rt.</t>
  </si>
  <si>
    <t>Kölcsön és jelzálogszerződés</t>
  </si>
  <si>
    <t>8163/71</t>
  </si>
  <si>
    <t>Logisztikai központ</t>
  </si>
  <si>
    <t>Korlátozottan forgalomképes</t>
  </si>
  <si>
    <t>VÁTI Magyar Regionális Fejleszztési és Urbanisztikai Közhasznú Társaság</t>
  </si>
  <si>
    <t>Keretbiztosítéki jelzálogjog, Támogatási szerződésen alapuló</t>
  </si>
  <si>
    <t>8163/72/A</t>
  </si>
  <si>
    <t>8163/73</t>
  </si>
  <si>
    <t>Tiszaliget</t>
  </si>
  <si>
    <t>Gazdasági és Közlekedési Minisztérium</t>
  </si>
  <si>
    <t>Egyetemleges jelzálogjog</t>
  </si>
  <si>
    <t>19012/1</t>
  </si>
  <si>
    <t>TVM Ltp.</t>
  </si>
  <si>
    <t>19012/2</t>
  </si>
  <si>
    <t>19012/8</t>
  </si>
  <si>
    <t>19012/9</t>
  </si>
  <si>
    <t>19012/11</t>
  </si>
  <si>
    <t>19012/12</t>
  </si>
  <si>
    <t>2009. évi terv adat</t>
  </si>
  <si>
    <t>2009.év</t>
  </si>
  <si>
    <t>19012/14</t>
  </si>
  <si>
    <t>19014/6</t>
  </si>
  <si>
    <r>
      <t xml:space="preserve">Szigligeti Színház rekonstrukciója és műszaki fejlesztése céljából 2007. évi címzett állami támogatási igény bejelentéséhez szükséges beruházási koncepció benyújtásáról - </t>
    </r>
    <r>
      <rPr>
        <b/>
        <u val="single"/>
        <sz val="10"/>
        <rFont val="Times New Roman"/>
        <family val="1"/>
      </rPr>
      <t>2. változat</t>
    </r>
  </si>
  <si>
    <t>szociális feladatok</t>
  </si>
  <si>
    <t>közművelődési feladatok</t>
  </si>
  <si>
    <t>2006 terv</t>
  </si>
  <si>
    <t>Saját bevételek</t>
  </si>
  <si>
    <t>Átengedett (SZJA, Gépjármű adó)</t>
  </si>
  <si>
    <t>Állami működésre</t>
  </si>
  <si>
    <t>Átvett működésre</t>
  </si>
  <si>
    <t>Államtól működésre kapott össz.</t>
  </si>
  <si>
    <t>Államtól fejlesztésre kapott össz.</t>
  </si>
  <si>
    <t>Egyéb fejlesztésre átvett</t>
  </si>
  <si>
    <t>Hitel</t>
  </si>
  <si>
    <t>Bevételek mindösszesen</t>
  </si>
  <si>
    <t>Bevételek alakulása 1998-2006</t>
  </si>
  <si>
    <t>terv adat</t>
  </si>
  <si>
    <t>Millió Ft</t>
  </si>
  <si>
    <t>Ezer Ft</t>
  </si>
  <si>
    <t>Beszámoló adatai tényleges kiadások</t>
  </si>
  <si>
    <t>Bér és járulék</t>
  </si>
  <si>
    <t>Felhalmozási kiadás</t>
  </si>
  <si>
    <t>Működési kiadás</t>
  </si>
  <si>
    <t>Kiadások összesen</t>
  </si>
  <si>
    <t>Intézményi bér és járulék</t>
  </si>
  <si>
    <t>Intézményi felhalmozási kiadás</t>
  </si>
  <si>
    <t>Intézményi működési kiadás</t>
  </si>
  <si>
    <t>Intézményi kiadás összesen</t>
  </si>
  <si>
    <t>Bér és járulék arány</t>
  </si>
  <si>
    <t>Felhalmozási arány</t>
  </si>
  <si>
    <t>Működési arány</t>
  </si>
  <si>
    <t>Összesen</t>
  </si>
  <si>
    <t>Kiadások összesenből</t>
  </si>
  <si>
    <t xml:space="preserve">Intézményi bér és járulék </t>
  </si>
  <si>
    <t>Önkormányzati kiadások összetételének aránya 1998-2006</t>
  </si>
  <si>
    <t>Az összes kiadáson belül az intézményi kiadások aránya 2000-2006</t>
  </si>
  <si>
    <t>Intézményi kiadások összetételének aránya 2000-2006</t>
  </si>
  <si>
    <t>Önkormányzati kiadásból intézményi kiadás 2000-2006</t>
  </si>
  <si>
    <t>Az összes kiadáson belül intézményi</t>
  </si>
  <si>
    <t>Intézményi kiadás aránya</t>
  </si>
  <si>
    <t>Grafikonhoz</t>
  </si>
  <si>
    <t>Bevételek összetételének aránya 1998-2006</t>
  </si>
  <si>
    <t>Önkormányzati bevételek összesen 1998-2006</t>
  </si>
  <si>
    <t>összesen</t>
  </si>
  <si>
    <t>Telekértékesítés</t>
  </si>
  <si>
    <t>Helyiségértékesítés</t>
  </si>
  <si>
    <t>Lakás, egyéb vagyon eladás</t>
  </si>
  <si>
    <t>Helyiségbérleti díjak</t>
  </si>
  <si>
    <t>Osztalék</t>
  </si>
  <si>
    <t>Koncessziós díj</t>
  </si>
  <si>
    <t>Megnevezés</t>
  </si>
  <si>
    <t>Ingatlan értékesítés összesen (1+2+3)</t>
  </si>
  <si>
    <t>Vagyon értékesítés összesen (4+5)</t>
  </si>
  <si>
    <t>Üzletrész és értékpapír értékesítés</t>
  </si>
  <si>
    <t>bevétel</t>
  </si>
  <si>
    <t>kiadás</t>
  </si>
  <si>
    <t>egyenleg</t>
  </si>
  <si>
    <t>Működési költségvetés</t>
  </si>
  <si>
    <t>Tőke költségvetés</t>
  </si>
  <si>
    <t xml:space="preserve"> ezer Ft-ban</t>
  </si>
  <si>
    <t>Hiány</t>
  </si>
  <si>
    <t>Hitelek összesen</t>
  </si>
  <si>
    <t>2006. évi terv</t>
  </si>
  <si>
    <t>Az oktatási - nevelési intézményekben, a tanulói létszámcsökkenés hatása az igénybe vett normatív állami támogatásokra</t>
  </si>
  <si>
    <t>állami támogatási normatíva</t>
  </si>
  <si>
    <t>2009. évi terv</t>
  </si>
  <si>
    <t xml:space="preserve"> gazdálkodását meghatározó adatok, mutatószámok 2008. és 2009. években</t>
  </si>
  <si>
    <t>2007.</t>
  </si>
  <si>
    <t>2009. terv</t>
  </si>
  <si>
    <t>2008.       terv</t>
  </si>
  <si>
    <t>2009.        terv</t>
  </si>
  <si>
    <t>2008.                      terv</t>
  </si>
  <si>
    <t>2009.            terv</t>
  </si>
  <si>
    <t>2009.terv</t>
  </si>
  <si>
    <t>naturália (létszám)</t>
  </si>
  <si>
    <t>normatíva (ezer Ft-ban)</t>
  </si>
  <si>
    <t xml:space="preserve">Óvodai nevelés </t>
  </si>
  <si>
    <t>Iskolai oktatás az 1-4. évfolyamon</t>
  </si>
  <si>
    <t>Iskolai oktatás az 5-8. évfolyamon</t>
  </si>
  <si>
    <t>Iskolai oktatás a 9-13. évfolyamon</t>
  </si>
  <si>
    <t xml:space="preserve">Iskolai szakképzés </t>
  </si>
  <si>
    <t>2006 - 2002</t>
  </si>
  <si>
    <t>általános iskola</t>
  </si>
  <si>
    <t>középiskola</t>
  </si>
  <si>
    <t>változás az előző évhez</t>
  </si>
  <si>
    <t>ebből a létszámváltozás hatása</t>
  </si>
  <si>
    <t xml:space="preserve">         a normatíva változás hatása</t>
  </si>
  <si>
    <t>2003. évi normatíva</t>
  </si>
  <si>
    <t>2003. norm</t>
  </si>
  <si>
    <t>2006 norm</t>
  </si>
  <si>
    <t>Különbség</t>
  </si>
  <si>
    <t>2003. évi létsz</t>
  </si>
  <si>
    <t>2006. évi létsz</t>
  </si>
  <si>
    <t>Összetétel változás hatása (80262-55943)</t>
  </si>
  <si>
    <t>Ft-ban</t>
  </si>
  <si>
    <t>2002 év</t>
  </si>
  <si>
    <t>2003. év</t>
  </si>
  <si>
    <t>arányok</t>
  </si>
  <si>
    <t>öszeg változás</t>
  </si>
  <si>
    <t>naturália</t>
  </si>
  <si>
    <t>norma</t>
  </si>
  <si>
    <t>összeg</t>
  </si>
  <si>
    <t>nat.növ %</t>
  </si>
  <si>
    <t>norm.növ %</t>
  </si>
  <si>
    <t>2003 év</t>
  </si>
  <si>
    <t>2004. év</t>
  </si>
  <si>
    <t>2004 év</t>
  </si>
  <si>
    <t>2005. év</t>
  </si>
  <si>
    <t>2005 év</t>
  </si>
  <si>
    <t>2006. év terv</t>
  </si>
  <si>
    <t>normatíva vált hatása</t>
  </si>
  <si>
    <t>Eredeti</t>
  </si>
  <si>
    <t>Összetétel vált hat</t>
  </si>
  <si>
    <t>létszám vált hatása</t>
  </si>
  <si>
    <t xml:space="preserve">         összetétel változás hatása</t>
  </si>
  <si>
    <t>változás az előző évhez (kontrol)</t>
  </si>
  <si>
    <t>Szolnok Megyei Jogú Város hitelállománya 2006. szeptember 30-án</t>
  </si>
  <si>
    <t>adatok Ft-ban</t>
  </si>
  <si>
    <t>devizanem</t>
  </si>
  <si>
    <t>Felvett hitel összege (Ft-ban)</t>
  </si>
  <si>
    <t>Felvétel éve</t>
  </si>
  <si>
    <t>Lejárat</t>
  </si>
  <si>
    <t>Kamat mértéke</t>
  </si>
  <si>
    <t>Eddigi törlesztés</t>
  </si>
  <si>
    <t>2006. 09. 30 záró állomány</t>
  </si>
  <si>
    <t>Szántó krt.útépítés II.</t>
  </si>
  <si>
    <t>Ft</t>
  </si>
  <si>
    <t>1998.</t>
  </si>
  <si>
    <t>3 havi BUBOR + 0,25%</t>
  </si>
  <si>
    <t>Sportcsarnok 2001.</t>
  </si>
  <si>
    <t>2001.</t>
  </si>
  <si>
    <t>3 havi BUBOR + 0,35%</t>
  </si>
  <si>
    <t>EHP hitel</t>
  </si>
  <si>
    <t>2002.</t>
  </si>
  <si>
    <t>3 havi BUBOR - 0,006%</t>
  </si>
  <si>
    <t>TVM lakótelep vásárlás 2003.</t>
  </si>
  <si>
    <t>2003.</t>
  </si>
  <si>
    <t>Intézmények felújítása 2003.</t>
  </si>
  <si>
    <t>2008. évi terv</t>
  </si>
  <si>
    <t>2008. terv</t>
  </si>
  <si>
    <t>2008.terv</t>
  </si>
  <si>
    <t>2008. évi terv adat</t>
  </si>
  <si>
    <t>2008.év</t>
  </si>
  <si>
    <t>Szennyv. EIB hitel</t>
  </si>
  <si>
    <t>CHF</t>
  </si>
  <si>
    <t>1997.</t>
  </si>
  <si>
    <t>3 hónapos CHF LIBOR + 0,4%</t>
  </si>
  <si>
    <t>Útépítések 2001.</t>
  </si>
  <si>
    <t>Sportcsarnok 2002.</t>
  </si>
  <si>
    <t>Útépítések 2002.</t>
  </si>
  <si>
    <t>TVM lakótelep vásárlás 2002.</t>
  </si>
  <si>
    <t>Útépítések 2003.</t>
  </si>
  <si>
    <t>Beruházási hitel 2004.</t>
  </si>
  <si>
    <t>2004.</t>
  </si>
  <si>
    <t>Beruházási hitel 2004. (áthúzódó)</t>
  </si>
  <si>
    <t>Széchenyi Gimn.tornacsarnok (MFB)</t>
  </si>
  <si>
    <t>2005.</t>
  </si>
  <si>
    <t>6 hónapos BUBOR + 1%</t>
  </si>
  <si>
    <t>Útépítések 2005. (MFB - OTP)</t>
  </si>
  <si>
    <t>3 havi EURIBOR + 1,549%</t>
  </si>
  <si>
    <t>Útépítések 2005. (CIB)</t>
  </si>
  <si>
    <t>3 hónapos CHF LIBOR</t>
  </si>
  <si>
    <t>Alcsi-Ketváros-Szanda</t>
  </si>
  <si>
    <t>OTP prime rate</t>
  </si>
  <si>
    <t>Partoskápolna-Csallóköz</t>
  </si>
  <si>
    <t>Hetényi G. kórház</t>
  </si>
  <si>
    <t>1999.</t>
  </si>
  <si>
    <t>Meggyes-Szűcs telep</t>
  </si>
  <si>
    <t>2000.</t>
  </si>
  <si>
    <t>3 havi BUBOR + 1%</t>
  </si>
  <si>
    <t>VI. öblözet</t>
  </si>
  <si>
    <t>Csatornamű Társulatoktól átvett hitelek:</t>
  </si>
  <si>
    <t>Hosszúlejáratú hitelek mindösszesen:</t>
  </si>
  <si>
    <t>Folyószámlahitel*</t>
  </si>
  <si>
    <t>2006.</t>
  </si>
  <si>
    <t>3 havi BUBOR + 0,15%</t>
  </si>
  <si>
    <t>Rövidlejáratú hitelek összesen:</t>
  </si>
  <si>
    <t>KAC/ Sportcsarnok</t>
  </si>
  <si>
    <t>kamatmentes</t>
  </si>
  <si>
    <t>Támogatási kölcsönök összesen:</t>
  </si>
  <si>
    <t>* hitelkeret: 1.500.000 E Ft</t>
  </si>
  <si>
    <t>Saját önkormányzati bevételek</t>
  </si>
  <si>
    <t>Pénzügyi (technikai) elszámolás</t>
  </si>
  <si>
    <t xml:space="preserve">Megnevezés </t>
  </si>
  <si>
    <t>Tervezett összesen</t>
  </si>
  <si>
    <t>Követelések és kötelezettségek az auditált egyszerűsített beszámolók és a kincstári adatszolgáltatás alapján</t>
  </si>
  <si>
    <t>ezer Ft-ban</t>
  </si>
  <si>
    <t>Mérlegfőösszeg</t>
  </si>
  <si>
    <t>Követelések</t>
  </si>
  <si>
    <t>Hosszúlejáratú követelés</t>
  </si>
  <si>
    <t>Rövidlejáratú követelések</t>
  </si>
  <si>
    <t xml:space="preserve">   ebből vevők</t>
  </si>
  <si>
    <t xml:space="preserve">            vevőkövetelés értékvesztése</t>
  </si>
  <si>
    <t>Hosszúlejáratú kötelezettségek</t>
  </si>
  <si>
    <t xml:space="preserve">          ebből </t>
  </si>
  <si>
    <t>hitelek</t>
  </si>
  <si>
    <t xml:space="preserve">         </t>
  </si>
  <si>
    <t>kölcsönök</t>
  </si>
  <si>
    <t>KAC</t>
  </si>
  <si>
    <t>Rövidlejáratú kötelezettségek</t>
  </si>
  <si>
    <t xml:space="preserve">          ebből</t>
  </si>
  <si>
    <t>szállítók</t>
  </si>
  <si>
    <t>hosszúból</t>
  </si>
  <si>
    <t>köv.évi törl.</t>
  </si>
  <si>
    <t>Változás %</t>
  </si>
  <si>
    <t>1998-2005</t>
  </si>
  <si>
    <t>index %   99-98</t>
  </si>
  <si>
    <t>index %   2000-99</t>
  </si>
  <si>
    <t>index %   2001-00</t>
  </si>
  <si>
    <t>index %   2002-01</t>
  </si>
  <si>
    <t>index %   2003-02</t>
  </si>
  <si>
    <t>index %   2004-03</t>
  </si>
  <si>
    <t>index %   2005-04</t>
  </si>
  <si>
    <t>Intézmény megnevezése</t>
  </si>
  <si>
    <t>Kiadás főösszege</t>
  </si>
  <si>
    <t>Kiadásból személyi</t>
  </si>
  <si>
    <t>Önkormányzat támogatása</t>
  </si>
  <si>
    <t>Szolnok Megyei Jogú Város Intézményszolgálat</t>
  </si>
  <si>
    <t>I.sz.Óvodai Intézmény</t>
  </si>
  <si>
    <t>II.sz.Óvodai Intézmény</t>
  </si>
  <si>
    <t>III.sz.Óvodai Intézmény</t>
  </si>
  <si>
    <t>IV.sz.Óvodai Intézmény</t>
  </si>
  <si>
    <t>Együtt</t>
  </si>
  <si>
    <t>együtt</t>
  </si>
  <si>
    <t>Kodály Z.Ének-zenei Ált.Isk. és Tallinn Alapfokú Művészetoktatási Intézmény</t>
  </si>
  <si>
    <t>Bartók Béla Zeneiskola</t>
  </si>
  <si>
    <t>Fiumei úti Általános Iskola</t>
  </si>
  <si>
    <t>Belvárosi Általános Iskola</t>
  </si>
  <si>
    <t>Kassai úti Általános Iskola</t>
  </si>
  <si>
    <t>Széchényi krt-i Ált.Iskola</t>
  </si>
  <si>
    <t>Újvárosi Általános Iskola</t>
  </si>
  <si>
    <t>II.Rákóczi F.Általános Iskola</t>
  </si>
  <si>
    <t>Szandaszőlősi Ált.és Műv. Isk.</t>
  </si>
  <si>
    <t>Tallin Általános és Műv. Iskola</t>
  </si>
  <si>
    <t>Liget úti Általános Iskola</t>
  </si>
  <si>
    <t>Mátyás kir.Általános és Műv. I.</t>
  </si>
  <si>
    <t>Kőrösi Cs.S.Általános Iskola</t>
  </si>
  <si>
    <t>Herman O.Általános Iskola</t>
  </si>
  <si>
    <t>Eötvös J. Általános Iskola</t>
  </si>
  <si>
    <t>Szent-Györgyi A.Ált. Iskola</t>
  </si>
  <si>
    <t>Pedagógiai Szakszolgálat</t>
  </si>
  <si>
    <t>Verseghy Ferenc Gimnázium</t>
  </si>
  <si>
    <t>Varga Katalin Gimnázium</t>
  </si>
  <si>
    <t>Tiszaparti Gimnázium és SZ.</t>
  </si>
  <si>
    <t>Széchenyi István Gimnázium</t>
  </si>
  <si>
    <t>Kölcsey F. Ált. Iskola és Alternatív Gimn.</t>
  </si>
  <si>
    <t>Vásárhelyi P.Közg.és Post.</t>
  </si>
  <si>
    <t>Gépipari,Közl.SZKI Igazg.</t>
  </si>
  <si>
    <t>Pálfy J.Műszip.és Vegyip.SZ.</t>
  </si>
  <si>
    <t xml:space="preserve">Építészeti,Faipari és Körny. </t>
  </si>
  <si>
    <t>Kereskedelmi és Vend.SZKI</t>
  </si>
  <si>
    <t>Ruhaipari és Informatikai SZ.</t>
  </si>
  <si>
    <t>Egészségügyi SZKI</t>
  </si>
  <si>
    <t>Egészségügyi és Szoc. Szakközép- és Szakisk. és Alter. Gimn.</t>
  </si>
  <si>
    <t xml:space="preserve">Városi Kollégium </t>
  </si>
  <si>
    <t>Oktatás-nevelés összesen</t>
  </si>
  <si>
    <t>Egyesített Szociális Intézméy</t>
  </si>
  <si>
    <t>Bölcsődei Igazgatóság</t>
  </si>
  <si>
    <t>"Liget Otthon"</t>
  </si>
  <si>
    <t>Humán Szolgáltató Központ</t>
  </si>
  <si>
    <t>Szociális összesen</t>
  </si>
  <si>
    <t xml:space="preserve">Egészségügyi Szolgálat </t>
  </si>
  <si>
    <t xml:space="preserve">Szigligeti Színház </t>
  </si>
  <si>
    <t>Hild Viktor Könyvtár</t>
  </si>
  <si>
    <t>PH.Ellátó Szolgáltató Szerv.</t>
  </si>
  <si>
    <t>Hivatásos Tűzoltóság</t>
  </si>
  <si>
    <t>Csarnok és Piac</t>
  </si>
  <si>
    <t>Egyéb intézmények összesen</t>
  </si>
  <si>
    <t>Mindösszesen</t>
  </si>
  <si>
    <t>Megjegyzés: Az állami hozzájárulás együttesen tartalmazza a normatív és a kötött állami támogatásokat</t>
  </si>
  <si>
    <t>Állami hozzájárulás</t>
  </si>
  <si>
    <t xml:space="preserve">Önkormányzat saját forrás </t>
  </si>
  <si>
    <t>2006. év</t>
  </si>
  <si>
    <t>adatok E Ft-ban</t>
  </si>
  <si>
    <t>E Ft-ban</t>
  </si>
  <si>
    <t>%-ban</t>
  </si>
  <si>
    <t>Szolnok Megyei Jogú Város költségvetésében az intézményi kiadási előirányzatok összehasonlítása 2005-2006. évek között</t>
  </si>
  <si>
    <t>törvényi szabályozás szerinti felső határ</t>
  </si>
  <si>
    <t>helyi rendelet szerint alkalmazott adókulcs</t>
  </si>
  <si>
    <t>iparűzési adót fizetők száma</t>
  </si>
  <si>
    <t>építmény adót fizetők száma</t>
  </si>
  <si>
    <t>2006. évi október  01- i statisztika szerinti összes létszám és bejáró létszám</t>
  </si>
  <si>
    <t>adatok fő-ben</t>
  </si>
  <si>
    <t>Összes létszám</t>
  </si>
  <si>
    <t>Ebből</t>
  </si>
  <si>
    <t>Bejáró összesen</t>
  </si>
  <si>
    <t>Kollégista</t>
  </si>
  <si>
    <t>Összes vidéki tanuló (bejáró és kollégista együtt)</t>
  </si>
  <si>
    <t>Nappali</t>
  </si>
  <si>
    <t>Esti és levelező</t>
  </si>
  <si>
    <t>I. sz. Óvodai Intézmény</t>
  </si>
  <si>
    <t>II. sz. Óvodai Intézmény</t>
  </si>
  <si>
    <t xml:space="preserve">Szolnok Megyei Jogú Város Önkormányzatának </t>
  </si>
  <si>
    <t>III. sz. Óvodai Intézmény</t>
  </si>
  <si>
    <t>IV. sz. Óvodai Intézmény</t>
  </si>
  <si>
    <t>Óvodák összesen:</t>
  </si>
  <si>
    <t>Kodály Z. Ének-zenei Ált. Isk.</t>
  </si>
  <si>
    <t>Széchenyi krt-i Általános Iskola</t>
  </si>
  <si>
    <t>II. Rákóczi F. Általános Iskola</t>
  </si>
  <si>
    <t>Szandaszőlősi Ált.Isk.és Műv.ház</t>
  </si>
  <si>
    <t>Liget úti Általános Isk. és Elők.SZ.</t>
  </si>
  <si>
    <t>Mátyás király Ált.Isk. és Műv.I.</t>
  </si>
  <si>
    <t>Kőrösi Cs.S. Ált.Isk. és Műv.I.</t>
  </si>
  <si>
    <t>Szent-Györgyi A.Általános Iskola</t>
  </si>
  <si>
    <t>Széchenyi István Gimn. és Ált.Isk.</t>
  </si>
  <si>
    <t>Általános Iskolák összesen:</t>
  </si>
  <si>
    <t>Tiszaparti Gimnázium és Humán SZKI</t>
  </si>
  <si>
    <t>Vásárhelyi Pál Közg.SZKI</t>
  </si>
  <si>
    <t>Gépipari, Közl. SZKI</t>
  </si>
  <si>
    <t>Pálfy J. Műszip. És Vegyip. SZKI</t>
  </si>
  <si>
    <t>Építészeti, Faipari és Körny. SZKI</t>
  </si>
  <si>
    <t>Kereskedelmi és Vend. SZKI</t>
  </si>
  <si>
    <t>Ruhaipari SZKI</t>
  </si>
  <si>
    <t>Középiskolák összesen:</t>
  </si>
  <si>
    <t>Oktatás-nevelés összesen:</t>
  </si>
  <si>
    <t>Egyesített Szociális Intézmény</t>
  </si>
  <si>
    <t xml:space="preserve">Liget Otthon </t>
  </si>
  <si>
    <t>Szociális összesen:</t>
  </si>
  <si>
    <t>M i n d ö s s z e s e n:</t>
  </si>
  <si>
    <t>Városi Kollégium</t>
  </si>
  <si>
    <t>PERFEKT</t>
  </si>
  <si>
    <t>kölönbség:</t>
  </si>
  <si>
    <t>Megjegyzés: Bejáró tanulók száma nem tartalmazza a kollégisták számát</t>
  </si>
  <si>
    <t>Tájékoztatás: 2005/2006-os tanévben a bejárók száma mindösszesen: 4.109 volt; Kollégisták száma: 806</t>
  </si>
  <si>
    <t>2005. évi október  01- i statisztika szerinti összes létszám és bejáró létszám ( beszámoló adatai)</t>
  </si>
  <si>
    <t xml:space="preserve">Szolnok Megyei Jogú Város Közgyűlésének kötelezettségvállalásai </t>
  </si>
  <si>
    <t>Közgyűlési  határozat-rendelet
száma</t>
  </si>
  <si>
    <t>Kötelezettségvállalás jogcíme</t>
  </si>
  <si>
    <t>Köt. vállalás összege</t>
  </si>
  <si>
    <t>Köt. vállalás fedezete</t>
  </si>
  <si>
    <t>Forrás összege</t>
  </si>
  <si>
    <t xml:space="preserve">2007. év </t>
  </si>
  <si>
    <t>2007. év után</t>
  </si>
  <si>
    <t>Intézmények</t>
  </si>
  <si>
    <t>323/2003. (XII.18.)</t>
  </si>
  <si>
    <t>Nevelési-oktatási intézmények részére kötelező eszköz- és felszerelési jegyzékben foglaltak megvalósításának ütemezéséről</t>
  </si>
  <si>
    <t>mindenkori költségvetés (2004-2008. évek)</t>
  </si>
  <si>
    <t>264/2006 (X.26)</t>
  </si>
  <si>
    <t xml:space="preserve">Iskolatej program továbbfolytatása 2007. január 1-től 2007. június 15-ig terjedő időszakban </t>
  </si>
  <si>
    <t>2007. évi költségvetés</t>
  </si>
  <si>
    <t>Városüzemeltetési, fejlesztési kiadások</t>
  </si>
  <si>
    <t>289/2004. (XII.16.)</t>
  </si>
  <si>
    <t>mindenkori költségvetés (2005-2014. évi költségvetések)</t>
  </si>
  <si>
    <t>127/2005. (II.24.)</t>
  </si>
  <si>
    <t>Önkormányzatok közötti csípőszúnyog elleni 2005-2007. évi védekezés, annak közös finanszírozásáról szóló együttműködési megállapodás - Szolnok Megyei Jogú Város Önkormányzat által az említett feladatra szánt összege</t>
  </si>
  <si>
    <t>éves költségvetések</t>
  </si>
  <si>
    <t>Z-60/2006. (VI.22.)</t>
  </si>
  <si>
    <t>Szolnok Megyei Jogú Város Önkormányzata és a Szollak Kft. között vállalkozási szerződés megkötéséről - az önkormányzati törzsvagyonba tartozó jelen szerződés 1. sz. mellékletét képező épületek karbantartási, felújítási, beruházási igényeinek felülvizsgála</t>
  </si>
  <si>
    <t>2007-2009. évi költségvetések</t>
  </si>
  <si>
    <t>"</t>
  </si>
  <si>
    <t>A Szolnok Televízió Zrt. elhelyezéséről - kiegészítő támogatás nyújtása a lízingkonstrukcióhoz 2008. december 31-ig (évente 9.500 eFt) 2006. évben a kiegészítő támogatás összege összesen: 2.000 eFt</t>
  </si>
  <si>
    <t>2007-2008. évi költségvetések</t>
  </si>
  <si>
    <t>A Szolnok Televízió Zrt. elhelyezéséről - kiegészítő támogatás nyújtása az optikai kiépítés T-Com alépítmény rendszerbe történő működtetéshez 2008. december 31-ig (évente 2.400 eFt) 2006. évben a kiegészítő támogatás összege összesen: 2.000 eFt</t>
  </si>
  <si>
    <t>A Szolnok Televízió Zrt. elhelyezéséről - kiegészítő támogatás nyújtása 2009. évtől 2014. évig évenet 15%-kal csökkentett mértékben biztosítja</t>
  </si>
  <si>
    <t>2009-2014. évi költségvetések</t>
  </si>
  <si>
    <t>206./2006. (VII.27.)</t>
  </si>
  <si>
    <t>Közbeszerzési eljárások lefolytatásához szüks.fedezet biztosításáról SZMJV Önkorm.utcák hidak ár-és belvizek, parkok gond.területén felmerülő feladatok ell.szüks.fedezet biztosítása</t>
  </si>
  <si>
    <t>2007-2010 évi költségvetések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</si>
</sst>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_ ;[Red]\-#,##0\ "/>
    <numFmt numFmtId="166" formatCode="yyyy/mm/dd;@"/>
    <numFmt numFmtId="167" formatCode="#,###"/>
    <numFmt numFmtId="168" formatCode="0.0_ ;[Red]\-0.0\ "/>
    <numFmt numFmtId="169" formatCode="#,##0.000"/>
    <numFmt numFmtId="170" formatCode="#,##0.0000"/>
    <numFmt numFmtId="171" formatCode="0.0"/>
    <numFmt numFmtId="172" formatCode="[$-40E]yyyy\.\ mmmm\ dd\,\ dddd"/>
    <numFmt numFmtId="173" formatCode="#,##0\ _F_t"/>
    <numFmt numFmtId="174" formatCode="_-* #,##0\ _F_t_-;\-* #,##0\ _F_t_-;_-* &quot;-&quot;??\ _F_t_-;_-@_-"/>
    <numFmt numFmtId="175" formatCode="_-* #,##0.0\ _F_t_-;\-* #,##0.0\ _F_t_-;_-* &quot;-&quot;??\ _F_t_-;_-@_-"/>
    <numFmt numFmtId="176" formatCode="#,###.0"/>
    <numFmt numFmtId="177" formatCode="#,###.00"/>
    <numFmt numFmtId="178" formatCode="#,##0\ &quot;Ft&quot;"/>
    <numFmt numFmtId="179" formatCode="[$-40E]yyyy\.\ mmmm\ d\."/>
    <numFmt numFmtId="180" formatCode="0.0%"/>
  </numFmts>
  <fonts count="69">
    <font>
      <sz val="10"/>
      <name val="Arial"/>
      <family val="0"/>
    </font>
    <font>
      <b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0"/>
    </font>
    <font>
      <sz val="10"/>
      <name val="Arial CE"/>
      <family val="0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 CE"/>
      <family val="0"/>
    </font>
    <font>
      <sz val="10"/>
      <name val="Times New Roman CE"/>
      <family val="1"/>
    </font>
    <font>
      <sz val="12"/>
      <name val="Arial CE"/>
      <family val="0"/>
    </font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.5"/>
      <name val="Arial"/>
      <family val="0"/>
    </font>
    <font>
      <i/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 CE"/>
      <family val="0"/>
    </font>
    <font>
      <b/>
      <sz val="10"/>
      <name val="Times New Roman CE"/>
      <family val="1"/>
    </font>
    <font>
      <b/>
      <sz val="9"/>
      <name val="Times New Roman CE"/>
      <family val="0"/>
    </font>
    <font>
      <sz val="8"/>
      <name val="Times New Roman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3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9.5"/>
      <name val="Arial"/>
      <family val="0"/>
    </font>
    <font>
      <sz val="11.25"/>
      <name val="Arial"/>
      <family val="0"/>
    </font>
    <font>
      <sz val="11.75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Times New Roman CE"/>
      <family val="1"/>
    </font>
    <font>
      <i/>
      <u val="single"/>
      <sz val="11"/>
      <name val="Times New Roman CE"/>
      <family val="1"/>
    </font>
    <font>
      <i/>
      <sz val="11"/>
      <name val="Times New Roman CE"/>
      <family val="1"/>
    </font>
    <font>
      <b/>
      <sz val="11"/>
      <name val="Times New Roman CE"/>
      <family val="1"/>
    </font>
    <font>
      <i/>
      <u val="single"/>
      <sz val="10"/>
      <name val="Arial CE"/>
      <family val="2"/>
    </font>
    <font>
      <b/>
      <sz val="14"/>
      <name val="Times New Roman CE"/>
      <family val="1"/>
    </font>
    <font>
      <b/>
      <sz val="3"/>
      <name val="Arial"/>
      <family val="0"/>
    </font>
    <font>
      <sz val="2.75"/>
      <name val="Arial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0.75"/>
      <name val="Times New Roman"/>
      <family val="1"/>
    </font>
    <font>
      <sz val="9.25"/>
      <name val="Times New Roman"/>
      <family val="1"/>
    </font>
    <font>
      <b/>
      <sz val="11.75"/>
      <name val="Times New Roman"/>
      <family val="1"/>
    </font>
    <font>
      <sz val="10.75"/>
      <name val="Times New Roman"/>
      <family val="1"/>
    </font>
    <font>
      <sz val="10.25"/>
      <name val="Times New Roman"/>
      <family val="1"/>
    </font>
    <font>
      <sz val="10"/>
      <color indexed="10"/>
      <name val="Times New Roman"/>
      <family val="1"/>
    </font>
    <font>
      <sz val="8.25"/>
      <name val="Times New Roman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5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double"/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thin"/>
      <bottom style="double"/>
    </border>
    <border>
      <left style="hair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double"/>
      <top style="thin"/>
      <bottom style="hair"/>
    </border>
    <border>
      <left style="double"/>
      <right>
        <color indexed="63"/>
      </right>
      <top>
        <color indexed="63"/>
      </top>
      <bottom style="thin"/>
    </border>
    <border>
      <left style="hair"/>
      <right style="double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 style="thin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hair"/>
      <bottom style="thin"/>
    </border>
    <border>
      <left>
        <color indexed="63"/>
      </left>
      <right style="hair"/>
      <top style="thin"/>
      <bottom style="double"/>
    </border>
    <border>
      <left style="double"/>
      <right style="hair"/>
      <top style="thin"/>
      <bottom style="hair"/>
    </border>
    <border>
      <left style="double"/>
      <right style="hair"/>
      <top style="hair"/>
      <bottom style="thin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hair"/>
    </border>
    <border>
      <left style="thin"/>
      <right style="double"/>
      <top style="hair"/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thin"/>
      <right style="hair"/>
      <top style="double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double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10" fillId="0" borderId="0" xfId="23" applyNumberFormat="1" applyFont="1" applyBorder="1">
      <alignment/>
      <protection/>
    </xf>
    <xf numFmtId="3" fontId="11" fillId="0" borderId="0" xfId="23" applyNumberFormat="1" applyFont="1" applyBorder="1">
      <alignment/>
      <protection/>
    </xf>
    <xf numFmtId="3" fontId="12" fillId="0" borderId="0" xfId="23" applyNumberFormat="1" applyFont="1" applyBorder="1">
      <alignment/>
      <protection/>
    </xf>
    <xf numFmtId="3" fontId="10" fillId="0" borderId="0" xfId="23" applyNumberFormat="1" applyFont="1" applyBorder="1" applyAlignment="1">
      <alignment/>
      <protection/>
    </xf>
    <xf numFmtId="3" fontId="13" fillId="0" borderId="0" xfId="23" applyNumberFormat="1" applyFont="1" applyBorder="1" applyAlignment="1">
      <alignment horizontal="center" vertical="center" wrapText="1"/>
      <protection/>
    </xf>
    <xf numFmtId="3" fontId="13" fillId="0" borderId="0" xfId="23" applyNumberFormat="1" applyFont="1" applyBorder="1" applyAlignment="1">
      <alignment vertical="center" wrapText="1"/>
      <protection/>
    </xf>
    <xf numFmtId="0" fontId="0" fillId="0" borderId="2" xfId="0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3" fontId="13" fillId="2" borderId="4" xfId="30" applyNumberFormat="1" applyFont="1" applyFill="1" applyBorder="1" applyAlignment="1">
      <alignment vertical="center"/>
      <protection/>
    </xf>
    <xf numFmtId="3" fontId="13" fillId="0" borderId="5" xfId="0" applyNumberFormat="1" applyFont="1" applyBorder="1" applyAlignment="1">
      <alignment/>
    </xf>
    <xf numFmtId="3" fontId="13" fillId="2" borderId="5" xfId="30" applyNumberFormat="1" applyFont="1" applyFill="1" applyBorder="1" applyAlignment="1">
      <alignment vertical="center"/>
      <protection/>
    </xf>
    <xf numFmtId="164" fontId="13" fillId="0" borderId="5" xfId="0" applyNumberFormat="1" applyFont="1" applyBorder="1" applyAlignment="1">
      <alignment/>
    </xf>
    <xf numFmtId="164" fontId="13" fillId="2" borderId="6" xfId="30" applyNumberFormat="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3" fontId="15" fillId="0" borderId="4" xfId="30" applyNumberFormat="1" applyFont="1" applyFill="1" applyBorder="1" applyAlignment="1">
      <alignment vertical="center"/>
      <protection/>
    </xf>
    <xf numFmtId="3" fontId="13" fillId="0" borderId="5" xfId="30" applyNumberFormat="1" applyFont="1" applyFill="1" applyBorder="1" applyAlignment="1">
      <alignment vertical="center"/>
      <protection/>
    </xf>
    <xf numFmtId="3" fontId="15" fillId="0" borderId="5" xfId="30" applyNumberFormat="1" applyFont="1" applyFill="1" applyBorder="1" applyAlignment="1">
      <alignment vertical="center"/>
      <protection/>
    </xf>
    <xf numFmtId="3" fontId="13" fillId="2" borderId="0" xfId="30" applyNumberFormat="1" applyFont="1" applyFill="1" applyBorder="1" applyAlignment="1">
      <alignment vertical="center"/>
      <protection/>
    </xf>
    <xf numFmtId="164" fontId="13" fillId="0" borderId="0" xfId="0" applyNumberFormat="1" applyFont="1" applyBorder="1" applyAlignment="1">
      <alignment/>
    </xf>
    <xf numFmtId="164" fontId="13" fillId="2" borderId="0" xfId="30" applyNumberFormat="1" applyFont="1" applyFill="1" applyBorder="1" applyAlignment="1">
      <alignment vertical="center"/>
      <protection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3" fontId="15" fillId="0" borderId="0" xfId="30" applyNumberFormat="1" applyFont="1" applyFill="1" applyBorder="1" applyAlignment="1">
      <alignment vertical="center"/>
      <protection/>
    </xf>
    <xf numFmtId="3" fontId="13" fillId="0" borderId="0" xfId="30" applyNumberFormat="1" applyFont="1" applyFill="1" applyBorder="1" applyAlignment="1">
      <alignment vertical="center"/>
      <protection/>
    </xf>
    <xf numFmtId="3" fontId="15" fillId="0" borderId="7" xfId="30" applyNumberFormat="1" applyFont="1" applyFill="1" applyBorder="1" applyAlignment="1">
      <alignment vertical="center"/>
      <protection/>
    </xf>
    <xf numFmtId="3" fontId="13" fillId="0" borderId="8" xfId="0" applyNumberFormat="1" applyFont="1" applyBorder="1" applyAlignment="1">
      <alignment/>
    </xf>
    <xf numFmtId="3" fontId="13" fillId="2" borderId="8" xfId="30" applyNumberFormat="1" applyFont="1" applyFill="1" applyBorder="1" applyAlignment="1">
      <alignment vertical="center"/>
      <protection/>
    </xf>
    <xf numFmtId="164" fontId="13" fillId="0" borderId="8" xfId="0" applyNumberFormat="1" applyFont="1" applyBorder="1" applyAlignment="1">
      <alignment/>
    </xf>
    <xf numFmtId="164" fontId="13" fillId="2" borderId="9" xfId="30" applyNumberFormat="1" applyFont="1" applyFill="1" applyBorder="1" applyAlignment="1">
      <alignment vertical="center"/>
      <protection/>
    </xf>
    <xf numFmtId="3" fontId="15" fillId="0" borderId="0" xfId="20" applyNumberFormat="1" applyFont="1" applyFill="1" applyBorder="1" applyAlignment="1">
      <alignment vertical="center"/>
      <protection/>
    </xf>
    <xf numFmtId="165" fontId="13" fillId="0" borderId="5" xfId="0" applyNumberFormat="1" applyFont="1" applyBorder="1" applyAlignment="1">
      <alignment/>
    </xf>
    <xf numFmtId="165" fontId="13" fillId="0" borderId="0" xfId="0" applyNumberFormat="1" applyFont="1" applyAlignment="1">
      <alignment/>
    </xf>
    <xf numFmtId="165" fontId="13" fillId="0" borderId="5" xfId="0" applyNumberFormat="1" applyFont="1" applyFill="1" applyBorder="1" applyAlignment="1">
      <alignment/>
    </xf>
    <xf numFmtId="165" fontId="13" fillId="0" borderId="0" xfId="0" applyNumberFormat="1" applyFont="1" applyBorder="1" applyAlignment="1">
      <alignment/>
    </xf>
    <xf numFmtId="165" fontId="10" fillId="0" borderId="0" xfId="30" applyNumberFormat="1" applyFont="1" applyFill="1" applyBorder="1" applyAlignment="1">
      <alignment vertical="center"/>
      <protection/>
    </xf>
    <xf numFmtId="165" fontId="13" fillId="0" borderId="0" xfId="0" applyNumberFormat="1" applyFont="1" applyFill="1" applyBorder="1" applyAlignment="1">
      <alignment/>
    </xf>
    <xf numFmtId="165" fontId="13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3" fontId="13" fillId="2" borderId="10" xfId="30" applyNumberFormat="1" applyFont="1" applyFill="1" applyBorder="1" applyAlignment="1">
      <alignment vertical="center"/>
      <protection/>
    </xf>
    <xf numFmtId="3" fontId="15" fillId="0" borderId="10" xfId="30" applyNumberFormat="1" applyFont="1" applyFill="1" applyBorder="1" applyAlignment="1">
      <alignment vertical="center"/>
      <protection/>
    </xf>
    <xf numFmtId="3" fontId="15" fillId="0" borderId="11" xfId="30" applyNumberFormat="1" applyFont="1" applyFill="1" applyBorder="1" applyAlignment="1">
      <alignment vertical="center"/>
      <protection/>
    </xf>
    <xf numFmtId="165" fontId="10" fillId="0" borderId="0" xfId="0" applyNumberFormat="1" applyFont="1" applyBorder="1" applyAlignment="1">
      <alignment/>
    </xf>
    <xf numFmtId="165" fontId="10" fillId="0" borderId="0" xfId="0" applyNumberFormat="1" applyFont="1" applyFill="1" applyBorder="1" applyAlignment="1">
      <alignment/>
    </xf>
    <xf numFmtId="3" fontId="10" fillId="0" borderId="0" xfId="23" applyNumberFormat="1" applyFont="1" applyBorder="1" applyAlignment="1">
      <alignment horizontal="center"/>
      <protection/>
    </xf>
    <xf numFmtId="3" fontId="10" fillId="0" borderId="0" xfId="23" applyNumberFormat="1" applyFont="1" applyBorder="1" applyAlignment="1">
      <alignment horizontal="center" vertical="center"/>
      <protection/>
    </xf>
    <xf numFmtId="164" fontId="10" fillId="0" borderId="0" xfId="23" applyNumberFormat="1" applyFont="1" applyBorder="1" applyAlignment="1">
      <alignment wrapText="1"/>
      <protection/>
    </xf>
    <xf numFmtId="3" fontId="10" fillId="0" borderId="0" xfId="23" applyNumberFormat="1" applyFont="1" applyBorder="1" applyAlignment="1">
      <alignment horizontal="center" vertical="center" wrapText="1"/>
      <protection/>
    </xf>
    <xf numFmtId="164" fontId="10" fillId="0" borderId="0" xfId="23" applyNumberFormat="1" applyFont="1" applyBorder="1">
      <alignment/>
      <protection/>
    </xf>
    <xf numFmtId="3" fontId="12" fillId="0" borderId="0" xfId="23" applyNumberFormat="1" applyFont="1" applyBorder="1" applyAlignment="1">
      <alignment horizontal="right"/>
      <protection/>
    </xf>
    <xf numFmtId="3" fontId="13" fillId="0" borderId="0" xfId="23" applyNumberFormat="1" applyFont="1" applyFill="1" applyBorder="1" applyAlignment="1">
      <alignment horizontal="center" vertical="center"/>
      <protection/>
    </xf>
    <xf numFmtId="3" fontId="10" fillId="0" borderId="0" xfId="23" applyNumberFormat="1" applyFont="1" applyFill="1" applyBorder="1" applyAlignment="1">
      <alignment horizontal="center"/>
      <protection/>
    </xf>
    <xf numFmtId="3" fontId="13" fillId="0" borderId="0" xfId="23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/>
    </xf>
    <xf numFmtId="3" fontId="13" fillId="2" borderId="5" xfId="23" applyNumberFormat="1" applyFont="1" applyFill="1" applyBorder="1">
      <alignment/>
      <protection/>
    </xf>
    <xf numFmtId="164" fontId="13" fillId="2" borderId="5" xfId="30" applyNumberFormat="1" applyFont="1" applyFill="1" applyBorder="1" applyAlignment="1">
      <alignment vertical="center"/>
      <protection/>
    </xf>
    <xf numFmtId="164" fontId="13" fillId="2" borderId="5" xfId="23" applyNumberFormat="1" applyFont="1" applyFill="1" applyBorder="1">
      <alignment/>
      <protection/>
    </xf>
    <xf numFmtId="165" fontId="13" fillId="2" borderId="5" xfId="23" applyNumberFormat="1" applyFont="1" applyFill="1" applyBorder="1">
      <alignment/>
      <protection/>
    </xf>
    <xf numFmtId="3" fontId="15" fillId="0" borderId="12" xfId="30" applyNumberFormat="1" applyFont="1" applyFill="1" applyBorder="1" applyAlignment="1">
      <alignment vertical="center"/>
      <protection/>
    </xf>
    <xf numFmtId="3" fontId="10" fillId="2" borderId="13" xfId="23" applyNumberFormat="1" applyFont="1" applyFill="1" applyBorder="1">
      <alignment/>
      <protection/>
    </xf>
    <xf numFmtId="3" fontId="13" fillId="2" borderId="14" xfId="23" applyNumberFormat="1" applyFont="1" applyFill="1" applyBorder="1">
      <alignment/>
      <protection/>
    </xf>
    <xf numFmtId="3" fontId="10" fillId="2" borderId="1" xfId="23" applyNumberFormat="1" applyFont="1" applyFill="1" applyBorder="1">
      <alignment/>
      <protection/>
    </xf>
    <xf numFmtId="3" fontId="10" fillId="2" borderId="5" xfId="23" applyNumberFormat="1" applyFont="1" applyFill="1" applyBorder="1">
      <alignment/>
      <protection/>
    </xf>
    <xf numFmtId="3" fontId="13" fillId="2" borderId="0" xfId="23" applyNumberFormat="1" applyFont="1" applyFill="1" applyBorder="1">
      <alignment/>
      <protection/>
    </xf>
    <xf numFmtId="164" fontId="13" fillId="2" borderId="0" xfId="23" applyNumberFormat="1" applyFont="1" applyFill="1" applyBorder="1">
      <alignment/>
      <protection/>
    </xf>
    <xf numFmtId="3" fontId="13" fillId="0" borderId="0" xfId="23" applyNumberFormat="1" applyFont="1" applyBorder="1">
      <alignment/>
      <protection/>
    </xf>
    <xf numFmtId="3" fontId="3" fillId="0" borderId="0" xfId="0" applyNumberFormat="1" applyFont="1" applyAlignment="1">
      <alignment/>
    </xf>
    <xf numFmtId="165" fontId="13" fillId="0" borderId="0" xfId="30" applyNumberFormat="1" applyFont="1" applyFill="1" applyBorder="1" applyAlignment="1">
      <alignment vertical="center"/>
      <protection/>
    </xf>
    <xf numFmtId="0" fontId="0" fillId="0" borderId="0" xfId="0" applyBorder="1" applyAlignment="1">
      <alignment horizontal="center"/>
    </xf>
    <xf numFmtId="167" fontId="17" fillId="0" borderId="0" xfId="31" applyNumberFormat="1" applyAlignment="1">
      <alignment vertical="center" wrapText="1"/>
      <protection/>
    </xf>
    <xf numFmtId="167" fontId="17" fillId="0" borderId="0" xfId="31" applyNumberFormat="1" applyAlignment="1">
      <alignment horizontal="right" vertical="center" wrapText="1"/>
      <protection/>
    </xf>
    <xf numFmtId="167" fontId="18" fillId="0" borderId="15" xfId="31" applyNumberFormat="1" applyFont="1" applyBorder="1" applyAlignment="1">
      <alignment horizontal="center" vertical="center" wrapText="1"/>
      <protection/>
    </xf>
    <xf numFmtId="167" fontId="14" fillId="0" borderId="16" xfId="31" applyNumberFormat="1" applyFont="1" applyBorder="1" applyAlignment="1">
      <alignment vertical="center"/>
      <protection/>
    </xf>
    <xf numFmtId="167" fontId="14" fillId="0" borderId="17" xfId="31" applyNumberFormat="1" applyFont="1" applyBorder="1" applyAlignment="1">
      <alignment horizontal="center" vertical="center"/>
      <protection/>
    </xf>
    <xf numFmtId="167" fontId="14" fillId="0" borderId="4" xfId="31" applyNumberFormat="1" applyFont="1" applyBorder="1" applyAlignment="1">
      <alignment vertical="center"/>
      <protection/>
    </xf>
    <xf numFmtId="167" fontId="14" fillId="0" borderId="5" xfId="31" applyNumberFormat="1" applyFont="1" applyBorder="1" applyAlignment="1">
      <alignment horizontal="center" vertical="center"/>
      <protection/>
    </xf>
    <xf numFmtId="167" fontId="17" fillId="0" borderId="1" xfId="31" applyNumberFormat="1" applyBorder="1" applyAlignment="1">
      <alignment vertical="center" wrapText="1"/>
      <protection/>
    </xf>
    <xf numFmtId="167" fontId="17" fillId="0" borderId="13" xfId="31" applyNumberFormat="1" applyBorder="1" applyAlignment="1">
      <alignment horizontal="center" vertical="center" wrapText="1"/>
      <protection/>
    </xf>
    <xf numFmtId="166" fontId="14" fillId="0" borderId="5" xfId="31" applyNumberFormat="1" applyFont="1" applyBorder="1" applyAlignment="1">
      <alignment horizontal="center" vertical="center"/>
      <protection/>
    </xf>
    <xf numFmtId="167" fontId="17" fillId="0" borderId="18" xfId="31" applyNumberFormat="1" applyBorder="1" applyAlignment="1">
      <alignment vertical="center" wrapText="1"/>
      <protection/>
    </xf>
    <xf numFmtId="167" fontId="17" fillId="0" borderId="5" xfId="31" applyNumberFormat="1" applyBorder="1" applyAlignment="1">
      <alignment vertical="center" wrapText="1"/>
      <protection/>
    </xf>
    <xf numFmtId="167" fontId="17" fillId="0" borderId="6" xfId="31" applyNumberFormat="1" applyBorder="1" applyAlignment="1">
      <alignment vertical="center" wrapText="1"/>
      <protection/>
    </xf>
    <xf numFmtId="167" fontId="14" fillId="0" borderId="19" xfId="31" applyNumberFormat="1" applyFont="1" applyBorder="1" applyAlignment="1">
      <alignment vertical="center"/>
      <protection/>
    </xf>
    <xf numFmtId="167" fontId="14" fillId="0" borderId="4" xfId="31" applyNumberFormat="1" applyFont="1" applyBorder="1" applyAlignment="1">
      <alignment horizontal="left" vertical="center"/>
      <protection/>
    </xf>
    <xf numFmtId="167" fontId="14" fillId="0" borderId="20" xfId="31" applyNumberFormat="1" applyFont="1" applyBorder="1" applyAlignment="1">
      <alignment vertical="center"/>
      <protection/>
    </xf>
    <xf numFmtId="167" fontId="14" fillId="0" borderId="4" xfId="31" applyNumberFormat="1" applyFont="1" applyFill="1" applyBorder="1" applyAlignment="1">
      <alignment horizontal="left" vertical="center"/>
      <protection/>
    </xf>
    <xf numFmtId="167" fontId="17" fillId="0" borderId="1" xfId="31" applyNumberFormat="1" applyBorder="1" applyAlignment="1">
      <alignment horizontal="left" vertical="center" wrapText="1"/>
      <protection/>
    </xf>
    <xf numFmtId="167" fontId="14" fillId="0" borderId="21" xfId="31" applyNumberFormat="1" applyFont="1" applyBorder="1" applyAlignment="1">
      <alignment vertical="center"/>
      <protection/>
    </xf>
    <xf numFmtId="167" fontId="14" fillId="0" borderId="22" xfId="31" applyNumberFormat="1" applyFont="1" applyFill="1" applyBorder="1" applyAlignment="1">
      <alignment horizontal="center" vertical="center"/>
      <protection/>
    </xf>
    <xf numFmtId="167" fontId="17" fillId="0" borderId="23" xfId="31" applyNumberFormat="1" applyBorder="1" applyAlignment="1">
      <alignment vertical="center" wrapText="1"/>
      <protection/>
    </xf>
    <xf numFmtId="167" fontId="17" fillId="0" borderId="24" xfId="31" applyNumberFormat="1" applyBorder="1" applyAlignment="1">
      <alignment horizontal="center" vertical="center" wrapText="1"/>
      <protection/>
    </xf>
    <xf numFmtId="166" fontId="14" fillId="0" borderId="22" xfId="31" applyNumberFormat="1" applyFont="1" applyBorder="1" applyAlignment="1">
      <alignment horizontal="center" vertical="center"/>
      <protection/>
    </xf>
    <xf numFmtId="167" fontId="17" fillId="0" borderId="22" xfId="31" applyNumberFormat="1" applyBorder="1" applyAlignment="1">
      <alignment vertical="center" wrapText="1"/>
      <protection/>
    </xf>
    <xf numFmtId="167" fontId="17" fillId="0" borderId="25" xfId="31" applyNumberFormat="1" applyBorder="1" applyAlignment="1">
      <alignment vertical="center" wrapText="1"/>
      <protection/>
    </xf>
    <xf numFmtId="167" fontId="18" fillId="0" borderId="26" xfId="31" applyNumberFormat="1" applyFont="1" applyBorder="1" applyAlignment="1">
      <alignment vertical="center" wrapText="1"/>
      <protection/>
    </xf>
    <xf numFmtId="167" fontId="18" fillId="0" borderId="27" xfId="31" applyNumberFormat="1" applyFont="1" applyBorder="1" applyAlignment="1">
      <alignment vertical="center" wrapText="1"/>
      <protection/>
    </xf>
    <xf numFmtId="167" fontId="18" fillId="0" borderId="28" xfId="31" applyNumberFormat="1" applyFont="1" applyBorder="1" applyAlignment="1">
      <alignment vertical="center" wrapText="1"/>
      <protection/>
    </xf>
    <xf numFmtId="167" fontId="18" fillId="0" borderId="29" xfId="31" applyNumberFormat="1" applyFont="1" applyBorder="1" applyAlignment="1">
      <alignment vertical="center" wrapText="1"/>
      <protection/>
    </xf>
    <xf numFmtId="167" fontId="14" fillId="0" borderId="28" xfId="31" applyNumberFormat="1" applyFont="1" applyBorder="1" applyAlignment="1">
      <alignment horizontal="center" vertical="center"/>
      <protection/>
    </xf>
    <xf numFmtId="167" fontId="18" fillId="0" borderId="30" xfId="31" applyNumberFormat="1" applyFont="1" applyBorder="1" applyAlignment="1">
      <alignment vertical="center" wrapText="1"/>
      <protection/>
    </xf>
    <xf numFmtId="167" fontId="18" fillId="0" borderId="0" xfId="31" applyNumberFormat="1" applyFont="1" applyAlignment="1">
      <alignment vertical="center" wrapText="1"/>
      <protection/>
    </xf>
    <xf numFmtId="167" fontId="17" fillId="0" borderId="31" xfId="31" applyNumberFormat="1" applyBorder="1" applyAlignment="1">
      <alignment vertical="center" wrapText="1"/>
      <protection/>
    </xf>
    <xf numFmtId="167" fontId="17" fillId="0" borderId="32" xfId="31" applyNumberFormat="1" applyBorder="1" applyAlignment="1">
      <alignment vertical="center" wrapText="1"/>
      <protection/>
    </xf>
    <xf numFmtId="167" fontId="17" fillId="0" borderId="33" xfId="31" applyNumberFormat="1" applyBorder="1" applyAlignment="1">
      <alignment vertical="center" wrapText="1"/>
      <protection/>
    </xf>
    <xf numFmtId="167" fontId="17" fillId="0" borderId="4" xfId="31" applyNumberFormat="1" applyBorder="1" applyAlignment="1">
      <alignment vertical="center" wrapText="1"/>
      <protection/>
    </xf>
    <xf numFmtId="167" fontId="17" fillId="0" borderId="5" xfId="31" applyNumberFormat="1" applyBorder="1" applyAlignment="1">
      <alignment horizontal="center" vertical="center" wrapText="1"/>
      <protection/>
    </xf>
    <xf numFmtId="166" fontId="17" fillId="0" borderId="5" xfId="31" applyNumberFormat="1" applyBorder="1" applyAlignment="1">
      <alignment horizontal="center" vertical="center" wrapText="1"/>
      <protection/>
    </xf>
    <xf numFmtId="167" fontId="17" fillId="0" borderId="19" xfId="31" applyNumberFormat="1" applyBorder="1" applyAlignment="1">
      <alignment vertical="center" wrapText="1"/>
      <protection/>
    </xf>
    <xf numFmtId="167" fontId="14" fillId="0" borderId="22" xfId="31" applyNumberFormat="1" applyFont="1" applyBorder="1" applyAlignment="1">
      <alignment horizontal="center" vertical="center"/>
      <protection/>
    </xf>
    <xf numFmtId="167" fontId="17" fillId="0" borderId="22" xfId="31" applyNumberFormat="1" applyBorder="1" applyAlignment="1">
      <alignment horizontal="center" vertical="center" wrapText="1"/>
      <protection/>
    </xf>
    <xf numFmtId="166" fontId="17" fillId="0" borderId="22" xfId="31" applyNumberFormat="1" applyBorder="1" applyAlignment="1">
      <alignment horizontal="center" vertical="center" wrapText="1"/>
      <protection/>
    </xf>
    <xf numFmtId="167" fontId="17" fillId="0" borderId="34" xfId="31" applyNumberFormat="1" applyBorder="1" applyAlignment="1">
      <alignment vertical="center" wrapText="1"/>
      <protection/>
    </xf>
    <xf numFmtId="167" fontId="18" fillId="0" borderId="35" xfId="31" applyNumberFormat="1" applyFont="1" applyBorder="1" applyAlignment="1">
      <alignment vertical="center" wrapText="1"/>
      <protection/>
    </xf>
    <xf numFmtId="167" fontId="18" fillId="0" borderId="36" xfId="31" applyNumberFormat="1" applyFont="1" applyBorder="1" applyAlignment="1">
      <alignment vertical="center" wrapText="1"/>
      <protection/>
    </xf>
    <xf numFmtId="167" fontId="18" fillId="0" borderId="37" xfId="31" applyNumberFormat="1" applyFont="1" applyBorder="1" applyAlignment="1">
      <alignment vertical="center" wrapText="1"/>
      <protection/>
    </xf>
    <xf numFmtId="167" fontId="17" fillId="0" borderId="38" xfId="31" applyNumberFormat="1" applyBorder="1" applyAlignment="1">
      <alignment vertical="center" wrapText="1"/>
      <protection/>
    </xf>
    <xf numFmtId="167" fontId="17" fillId="0" borderId="39" xfId="31" applyNumberFormat="1" applyBorder="1" applyAlignment="1">
      <alignment vertical="center" wrapText="1"/>
      <protection/>
    </xf>
    <xf numFmtId="167" fontId="17" fillId="0" borderId="40" xfId="31" applyNumberFormat="1" applyBorder="1" applyAlignment="1">
      <alignment vertical="center" wrapText="1"/>
      <protection/>
    </xf>
    <xf numFmtId="167" fontId="17" fillId="0" borderId="23" xfId="31" applyNumberFormat="1" applyBorder="1" applyAlignment="1">
      <alignment horizontal="center" vertical="center" wrapText="1"/>
      <protection/>
    </xf>
    <xf numFmtId="167" fontId="19" fillId="0" borderId="11" xfId="31" applyNumberFormat="1" applyFont="1" applyBorder="1" applyAlignment="1">
      <alignment vertical="center" wrapText="1"/>
      <protection/>
    </xf>
    <xf numFmtId="167" fontId="19" fillId="0" borderId="41" xfId="31" applyNumberFormat="1" applyFont="1" applyBorder="1" applyAlignment="1">
      <alignment horizontal="center" vertical="center" wrapText="1"/>
      <protection/>
    </xf>
    <xf numFmtId="167" fontId="19" fillId="0" borderId="8" xfId="31" applyNumberFormat="1" applyFont="1" applyBorder="1" applyAlignment="1">
      <alignment vertical="center" wrapText="1"/>
      <protection/>
    </xf>
    <xf numFmtId="167" fontId="19" fillId="0" borderId="9" xfId="31" applyNumberFormat="1" applyFont="1" applyBorder="1" applyAlignment="1">
      <alignment vertical="center" wrapText="1"/>
      <protection/>
    </xf>
    <xf numFmtId="167" fontId="17" fillId="0" borderId="0" xfId="31" applyNumberFormat="1" applyAlignment="1">
      <alignment wrapText="1"/>
      <protection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0" fontId="9" fillId="0" borderId="0" xfId="21" applyBorder="1">
      <alignment/>
      <protection/>
    </xf>
    <xf numFmtId="0" fontId="1" fillId="0" borderId="0" xfId="21" applyFont="1" applyBorder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0" fontId="9" fillId="0" borderId="0" xfId="21">
      <alignment/>
      <protection/>
    </xf>
    <xf numFmtId="0" fontId="9" fillId="0" borderId="0" xfId="21" applyBorder="1" applyAlignment="1">
      <alignment horizontal="center"/>
      <protection/>
    </xf>
    <xf numFmtId="0" fontId="1" fillId="0" borderId="0" xfId="21" applyFont="1" applyBorder="1">
      <alignment/>
      <protection/>
    </xf>
    <xf numFmtId="0" fontId="9" fillId="0" borderId="0" xfId="21" applyFont="1" applyBorder="1" applyAlignment="1">
      <alignment horizontal="center"/>
      <protection/>
    </xf>
    <xf numFmtId="0" fontId="9" fillId="0" borderId="0" xfId="21" applyFont="1" applyBorder="1">
      <alignment/>
      <protection/>
    </xf>
    <xf numFmtId="3" fontId="9" fillId="0" borderId="0" xfId="21" applyNumberFormat="1" applyBorder="1">
      <alignment/>
      <protection/>
    </xf>
    <xf numFmtId="3" fontId="9" fillId="0" borderId="0" xfId="21" applyNumberFormat="1">
      <alignment/>
      <protection/>
    </xf>
    <xf numFmtId="2" fontId="3" fillId="0" borderId="0" xfId="0" applyNumberFormat="1" applyFont="1" applyAlignment="1">
      <alignment/>
    </xf>
    <xf numFmtId="10" fontId="3" fillId="3" borderId="0" xfId="0" applyNumberFormat="1" applyFont="1" applyFill="1" applyBorder="1" applyAlignment="1">
      <alignment/>
    </xf>
    <xf numFmtId="3" fontId="0" fillId="3" borderId="0" xfId="0" applyNumberFormat="1" applyFill="1" applyBorder="1" applyAlignment="1">
      <alignment/>
    </xf>
    <xf numFmtId="10" fontId="0" fillId="3" borderId="0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0" fontId="24" fillId="0" borderId="0" xfId="26" applyFont="1" applyFill="1" applyAlignment="1">
      <alignment horizontal="center" vertical="center"/>
      <protection/>
    </xf>
    <xf numFmtId="0" fontId="13" fillId="0" borderId="0" xfId="26" applyFill="1" applyAlignment="1">
      <alignment vertical="center"/>
      <protection/>
    </xf>
    <xf numFmtId="0" fontId="24" fillId="0" borderId="0" xfId="26" applyFont="1" applyFill="1" applyBorder="1" applyAlignment="1">
      <alignment horizontal="center" vertical="center"/>
      <protection/>
    </xf>
    <xf numFmtId="3" fontId="13" fillId="0" borderId="0" xfId="26" applyNumberFormat="1" applyFill="1" applyAlignment="1">
      <alignment vertical="center"/>
      <protection/>
    </xf>
    <xf numFmtId="164" fontId="13" fillId="0" borderId="0" xfId="26" applyNumberFormat="1" applyFill="1" applyAlignment="1">
      <alignment vertical="center"/>
      <protection/>
    </xf>
    <xf numFmtId="3" fontId="13" fillId="0" borderId="0" xfId="26" applyNumberFormat="1" applyFill="1" applyBorder="1" applyAlignment="1">
      <alignment vertical="center"/>
      <protection/>
    </xf>
    <xf numFmtId="0" fontId="13" fillId="0" borderId="0" xfId="26" applyFill="1" applyBorder="1" applyAlignment="1">
      <alignment vertical="center"/>
      <protection/>
    </xf>
    <xf numFmtId="164" fontId="13" fillId="0" borderId="0" xfId="26" applyNumberFormat="1" applyFont="1" applyFill="1" applyAlignment="1">
      <alignment horizontal="right" vertical="center"/>
      <protection/>
    </xf>
    <xf numFmtId="3" fontId="13" fillId="0" borderId="0" xfId="26" applyNumberFormat="1" applyFont="1" applyFill="1" applyBorder="1" applyAlignment="1">
      <alignment horizontal="center" vertical="center"/>
      <protection/>
    </xf>
    <xf numFmtId="3" fontId="10" fillId="0" borderId="0" xfId="26" applyNumberFormat="1" applyFont="1" applyFill="1" applyBorder="1" applyAlignment="1">
      <alignment horizontal="center" vertical="center" wrapText="1"/>
      <protection/>
    </xf>
    <xf numFmtId="0" fontId="10" fillId="0" borderId="0" xfId="26" applyFont="1" applyFill="1" applyBorder="1" applyAlignment="1">
      <alignment horizontal="center" vertical="center" wrapText="1" shrinkToFit="1"/>
      <protection/>
    </xf>
    <xf numFmtId="0" fontId="25" fillId="0" borderId="42" xfId="26" applyFont="1" applyFill="1" applyBorder="1" applyAlignment="1">
      <alignment horizontal="center" vertical="center" wrapText="1"/>
      <protection/>
    </xf>
    <xf numFmtId="0" fontId="25" fillId="0" borderId="42" xfId="26" applyFont="1" applyFill="1" applyBorder="1" applyAlignment="1">
      <alignment horizontal="center" vertical="center" wrapText="1" shrinkToFit="1"/>
      <protection/>
    </xf>
    <xf numFmtId="0" fontId="25" fillId="0" borderId="43" xfId="26" applyFont="1" applyFill="1" applyBorder="1" applyAlignment="1">
      <alignment horizontal="center" vertical="center" wrapText="1" shrinkToFit="1"/>
      <protection/>
    </xf>
    <xf numFmtId="3" fontId="13" fillId="0" borderId="3" xfId="26" applyNumberFormat="1" applyFill="1" applyBorder="1" applyAlignment="1">
      <alignment vertical="center"/>
      <protection/>
    </xf>
    <xf numFmtId="3" fontId="13" fillId="0" borderId="0" xfId="26" applyNumberFormat="1" applyFont="1" applyFill="1" applyBorder="1" applyAlignment="1">
      <alignment vertical="center"/>
      <protection/>
    </xf>
    <xf numFmtId="1" fontId="13" fillId="0" borderId="0" xfId="26" applyNumberFormat="1" applyFill="1" applyBorder="1" applyAlignment="1">
      <alignment vertical="center"/>
      <protection/>
    </xf>
    <xf numFmtId="4" fontId="13" fillId="0" borderId="0" xfId="26" applyNumberFormat="1" applyFill="1" applyBorder="1" applyAlignment="1">
      <alignment vertical="center"/>
      <protection/>
    </xf>
    <xf numFmtId="165" fontId="13" fillId="0" borderId="5" xfId="26" applyNumberFormat="1" applyFill="1" applyBorder="1" applyAlignment="1">
      <alignment vertical="center"/>
      <protection/>
    </xf>
    <xf numFmtId="3" fontId="13" fillId="0" borderId="5" xfId="26" applyNumberFormat="1" applyFill="1" applyBorder="1" applyAlignment="1">
      <alignment vertical="center"/>
      <protection/>
    </xf>
    <xf numFmtId="168" fontId="13" fillId="0" borderId="5" xfId="26" applyNumberFormat="1" applyFill="1" applyBorder="1" applyAlignment="1">
      <alignment vertical="center"/>
      <protection/>
    </xf>
    <xf numFmtId="3" fontId="15" fillId="0" borderId="22" xfId="26" applyNumberFormat="1" applyFont="1" applyFill="1" applyBorder="1" applyAlignment="1">
      <alignment vertical="center"/>
      <protection/>
    </xf>
    <xf numFmtId="3" fontId="15" fillId="0" borderId="24" xfId="26" applyNumberFormat="1" applyFont="1" applyFill="1" applyBorder="1" applyAlignment="1">
      <alignment vertical="center"/>
      <protection/>
    </xf>
    <xf numFmtId="165" fontId="13" fillId="0" borderId="22" xfId="26" applyNumberFormat="1" applyFill="1" applyBorder="1" applyAlignment="1">
      <alignment vertical="center"/>
      <protection/>
    </xf>
    <xf numFmtId="3" fontId="13" fillId="0" borderId="22" xfId="26" applyNumberFormat="1" applyFill="1" applyBorder="1" applyAlignment="1">
      <alignment vertical="center"/>
      <protection/>
    </xf>
    <xf numFmtId="168" fontId="13" fillId="0" borderId="44" xfId="26" applyNumberFormat="1" applyFill="1" applyBorder="1" applyAlignment="1">
      <alignment vertical="center"/>
      <protection/>
    </xf>
    <xf numFmtId="165" fontId="13" fillId="0" borderId="44" xfId="26" applyNumberFormat="1" applyFill="1" applyBorder="1" applyAlignment="1">
      <alignment vertical="center"/>
      <protection/>
    </xf>
    <xf numFmtId="168" fontId="10" fillId="0" borderId="45" xfId="26" applyNumberFormat="1" applyFont="1" applyFill="1" applyBorder="1" applyAlignment="1">
      <alignment vertical="center"/>
      <protection/>
    </xf>
    <xf numFmtId="165" fontId="10" fillId="0" borderId="45" xfId="26" applyNumberFormat="1" applyFont="1" applyFill="1" applyBorder="1" applyAlignment="1">
      <alignment vertical="center"/>
      <protection/>
    </xf>
    <xf numFmtId="3" fontId="10" fillId="0" borderId="0" xfId="26" applyNumberFormat="1" applyFont="1" applyFill="1" applyBorder="1" applyAlignment="1">
      <alignment vertical="center"/>
      <protection/>
    </xf>
    <xf numFmtId="164" fontId="13" fillId="0" borderId="0" xfId="26" applyNumberFormat="1" applyFill="1" applyBorder="1" applyAlignment="1">
      <alignment vertical="center"/>
      <protection/>
    </xf>
    <xf numFmtId="165" fontId="13" fillId="0" borderId="46" xfId="26" applyNumberFormat="1" applyFill="1" applyBorder="1" applyAlignment="1">
      <alignment vertical="center"/>
      <protection/>
    </xf>
    <xf numFmtId="3" fontId="13" fillId="0" borderId="46" xfId="26" applyNumberFormat="1" applyFill="1" applyBorder="1" applyAlignment="1">
      <alignment vertical="center"/>
      <protection/>
    </xf>
    <xf numFmtId="168" fontId="26" fillId="0" borderId="5" xfId="25" applyNumberFormat="1" applyFont="1" applyFill="1" applyBorder="1" applyAlignment="1">
      <alignment horizontal="center" vertical="center"/>
      <protection/>
    </xf>
    <xf numFmtId="169" fontId="10" fillId="0" borderId="0" xfId="26" applyNumberFormat="1" applyFont="1" applyFill="1" applyBorder="1" applyAlignment="1">
      <alignment vertical="center"/>
      <protection/>
    </xf>
    <xf numFmtId="3" fontId="10" fillId="0" borderId="0" xfId="26" applyNumberFormat="1" applyFont="1" applyFill="1" applyBorder="1" applyAlignment="1">
      <alignment vertical="center"/>
      <protection/>
    </xf>
    <xf numFmtId="3" fontId="15" fillId="0" borderId="0" xfId="26" applyNumberFormat="1" applyFont="1" applyFill="1" applyBorder="1" applyAlignment="1">
      <alignment vertical="center"/>
      <protection/>
    </xf>
    <xf numFmtId="3" fontId="10" fillId="0" borderId="45" xfId="26" applyNumberFormat="1" applyFont="1" applyFill="1" applyBorder="1" applyAlignment="1">
      <alignment vertical="center"/>
      <protection/>
    </xf>
    <xf numFmtId="3" fontId="27" fillId="0" borderId="0" xfId="26" applyNumberFormat="1" applyFont="1" applyFill="1" applyBorder="1" applyAlignment="1">
      <alignment vertical="center"/>
      <protection/>
    </xf>
    <xf numFmtId="3" fontId="13" fillId="0" borderId="0" xfId="26" applyNumberFormat="1" applyFont="1" applyFill="1" applyBorder="1" applyAlignment="1">
      <alignment horizontal="left" vertical="center"/>
      <protection/>
    </xf>
    <xf numFmtId="3" fontId="10" fillId="0" borderId="0" xfId="26" applyNumberFormat="1" applyFont="1" applyFill="1" applyBorder="1" applyAlignment="1">
      <alignment horizontal="center" vertical="center" wrapText="1" shrinkToFit="1"/>
      <protection/>
    </xf>
    <xf numFmtId="3" fontId="13" fillId="0" borderId="0" xfId="26" applyNumberFormat="1" applyFont="1" applyFill="1" applyBorder="1" applyAlignment="1">
      <alignment horizontal="center" vertical="center" wrapText="1"/>
      <protection/>
    </xf>
    <xf numFmtId="3" fontId="13" fillId="0" borderId="0" xfId="26" applyNumberFormat="1" applyFont="1" applyFill="1" applyBorder="1" applyAlignment="1">
      <alignment horizontal="center" vertical="center" wrapText="1" shrinkToFit="1"/>
      <protection/>
    </xf>
    <xf numFmtId="170" fontId="13" fillId="0" borderId="0" xfId="26" applyNumberFormat="1" applyFont="1" applyFill="1" applyBorder="1" applyAlignment="1">
      <alignment horizontal="center" vertical="center" wrapText="1"/>
      <protection/>
    </xf>
    <xf numFmtId="3" fontId="13" fillId="0" borderId="0" xfId="26" applyNumberFormat="1" applyFill="1" applyBorder="1" applyAlignment="1">
      <alignment horizontal="center" vertical="center" wrapText="1" shrinkToFit="1"/>
      <protection/>
    </xf>
    <xf numFmtId="3" fontId="10" fillId="0" borderId="0" xfId="26" applyNumberFormat="1" applyFont="1" applyFill="1" applyBorder="1" applyAlignment="1">
      <alignment horizontal="center" vertical="center"/>
      <protection/>
    </xf>
    <xf numFmtId="3" fontId="13" fillId="0" borderId="0" xfId="26" applyNumberFormat="1" applyFont="1" applyFill="1" applyBorder="1" applyAlignment="1">
      <alignment horizontal="center" vertical="center" shrinkToFit="1"/>
      <protection/>
    </xf>
    <xf numFmtId="3" fontId="13" fillId="0" borderId="0" xfId="26" applyNumberFormat="1" applyFill="1" applyBorder="1" applyAlignment="1">
      <alignment horizontal="center" vertical="center"/>
      <protection/>
    </xf>
    <xf numFmtId="3" fontId="13" fillId="0" borderId="0" xfId="26" applyNumberFormat="1" applyFill="1" applyBorder="1" applyAlignment="1">
      <alignment horizontal="center" vertical="center" wrapText="1"/>
      <protection/>
    </xf>
    <xf numFmtId="3" fontId="13" fillId="0" borderId="0" xfId="26" applyNumberFormat="1" applyFill="1" applyBorder="1" applyAlignment="1">
      <alignment horizontal="center" vertical="center" shrinkToFit="1"/>
      <protection/>
    </xf>
    <xf numFmtId="3" fontId="27" fillId="0" borderId="0" xfId="26" applyNumberFormat="1" applyFont="1" applyFill="1" applyBorder="1" applyAlignment="1">
      <alignment vertical="center"/>
      <protection/>
    </xf>
    <xf numFmtId="164" fontId="10" fillId="0" borderId="0" xfId="26" applyNumberFormat="1" applyFont="1" applyFill="1" applyBorder="1" applyAlignment="1">
      <alignment vertical="center"/>
      <protection/>
    </xf>
    <xf numFmtId="3" fontId="27" fillId="0" borderId="47" xfId="26" applyNumberFormat="1" applyFont="1" applyFill="1" applyBorder="1" applyAlignment="1">
      <alignment vertical="center"/>
      <protection/>
    </xf>
    <xf numFmtId="3" fontId="27" fillId="0" borderId="28" xfId="26" applyNumberFormat="1" applyFont="1" applyFill="1" applyBorder="1" applyAlignment="1">
      <alignment vertical="center"/>
      <protection/>
    </xf>
    <xf numFmtId="3" fontId="10" fillId="0" borderId="27" xfId="26" applyNumberFormat="1" applyFont="1" applyFill="1" applyBorder="1" applyAlignment="1">
      <alignment vertical="center"/>
      <protection/>
    </xf>
    <xf numFmtId="3" fontId="10" fillId="0" borderId="28" xfId="26" applyNumberFormat="1" applyFont="1" applyFill="1" applyBorder="1" applyAlignment="1">
      <alignment vertical="center"/>
      <protection/>
    </xf>
    <xf numFmtId="164" fontId="10" fillId="0" borderId="28" xfId="26" applyNumberFormat="1" applyFont="1" applyFill="1" applyBorder="1" applyAlignment="1">
      <alignment vertical="center"/>
      <protection/>
    </xf>
    <xf numFmtId="164" fontId="27" fillId="0" borderId="0" xfId="26" applyNumberFormat="1" applyFont="1" applyFill="1" applyBorder="1" applyAlignment="1">
      <alignment vertical="center"/>
      <protection/>
    </xf>
    <xf numFmtId="3" fontId="13" fillId="0" borderId="48" xfId="26" applyNumberFormat="1" applyFill="1" applyBorder="1" applyAlignment="1">
      <alignment vertical="center"/>
      <protection/>
    </xf>
    <xf numFmtId="3" fontId="13" fillId="0" borderId="49" xfId="26" applyNumberFormat="1" applyFill="1" applyBorder="1" applyAlignment="1">
      <alignment vertical="center"/>
      <protection/>
    </xf>
    <xf numFmtId="3" fontId="10" fillId="0" borderId="47" xfId="26" applyNumberFormat="1" applyFont="1" applyFill="1" applyBorder="1" applyAlignment="1">
      <alignment vertical="center"/>
      <protection/>
    </xf>
    <xf numFmtId="3" fontId="10" fillId="0" borderId="50" xfId="26" applyNumberFormat="1" applyFont="1" applyFill="1" applyBorder="1" applyAlignment="1">
      <alignment vertical="center"/>
      <protection/>
    </xf>
    <xf numFmtId="3" fontId="13" fillId="0" borderId="51" xfId="26" applyNumberFormat="1" applyFill="1" applyBorder="1" applyAlignment="1">
      <alignment vertical="center"/>
      <protection/>
    </xf>
    <xf numFmtId="3" fontId="13" fillId="0" borderId="52" xfId="26" applyNumberFormat="1" applyFill="1" applyBorder="1" applyAlignment="1">
      <alignment vertical="center"/>
      <protection/>
    </xf>
    <xf numFmtId="3" fontId="13" fillId="0" borderId="53" xfId="26" applyNumberFormat="1" applyFill="1" applyBorder="1" applyAlignment="1">
      <alignment vertical="center"/>
      <protection/>
    </xf>
    <xf numFmtId="3" fontId="13" fillId="0" borderId="54" xfId="26" applyNumberFormat="1" applyFill="1" applyBorder="1" applyAlignment="1">
      <alignment vertical="center"/>
      <protection/>
    </xf>
    <xf numFmtId="3" fontId="27" fillId="0" borderId="50" xfId="26" applyNumberFormat="1" applyFont="1" applyFill="1" applyBorder="1" applyAlignment="1">
      <alignment vertical="center"/>
      <protection/>
    </xf>
    <xf numFmtId="3" fontId="13" fillId="0" borderId="55" xfId="26" applyNumberFormat="1" applyFill="1" applyBorder="1" applyAlignment="1">
      <alignment vertical="center"/>
      <protection/>
    </xf>
    <xf numFmtId="165" fontId="13" fillId="0" borderId="56" xfId="26" applyNumberFormat="1" applyFill="1" applyBorder="1" applyAlignment="1">
      <alignment vertical="center"/>
      <protection/>
    </xf>
    <xf numFmtId="3" fontId="13" fillId="0" borderId="57" xfId="26" applyNumberFormat="1" applyFill="1" applyBorder="1" applyAlignment="1">
      <alignment vertical="center"/>
      <protection/>
    </xf>
    <xf numFmtId="168" fontId="13" fillId="0" borderId="56" xfId="26" applyNumberFormat="1" applyFill="1" applyBorder="1" applyAlignment="1">
      <alignment vertical="center"/>
      <protection/>
    </xf>
    <xf numFmtId="168" fontId="10" fillId="0" borderId="28" xfId="26" applyNumberFormat="1" applyFont="1" applyFill="1" applyBorder="1" applyAlignment="1">
      <alignment vertical="center"/>
      <protection/>
    </xf>
    <xf numFmtId="165" fontId="10" fillId="0" borderId="28" xfId="26" applyNumberFormat="1" applyFont="1" applyFill="1" applyBorder="1" applyAlignment="1">
      <alignment vertical="center"/>
      <protection/>
    </xf>
    <xf numFmtId="3" fontId="13" fillId="0" borderId="58" xfId="26" applyNumberFormat="1" applyFill="1" applyBorder="1" applyAlignment="1">
      <alignment vertical="center"/>
      <protection/>
    </xf>
    <xf numFmtId="3" fontId="13" fillId="0" borderId="59" xfId="26" applyNumberFormat="1" applyFill="1" applyBorder="1" applyAlignment="1">
      <alignment vertical="center"/>
      <protection/>
    </xf>
    <xf numFmtId="168" fontId="27" fillId="0" borderId="0" xfId="26" applyNumberFormat="1" applyFont="1" applyFill="1" applyBorder="1" applyAlignment="1">
      <alignment vertical="center"/>
      <protection/>
    </xf>
    <xf numFmtId="168" fontId="10" fillId="0" borderId="0" xfId="26" applyNumberFormat="1" applyFont="1" applyFill="1" applyBorder="1" applyAlignment="1">
      <alignment vertical="center"/>
      <protection/>
    </xf>
    <xf numFmtId="165" fontId="10" fillId="0" borderId="0" xfId="26" applyNumberFormat="1" applyFont="1" applyFill="1" applyBorder="1" applyAlignment="1">
      <alignment vertical="center"/>
      <protection/>
    </xf>
    <xf numFmtId="10" fontId="13" fillId="0" borderId="52" xfId="26" applyNumberFormat="1" applyFill="1" applyBorder="1" applyAlignment="1">
      <alignment vertical="center"/>
      <protection/>
    </xf>
    <xf numFmtId="3" fontId="13" fillId="0" borderId="60" xfId="26" applyNumberFormat="1" applyFill="1" applyBorder="1" applyAlignment="1">
      <alignment vertical="center"/>
      <protection/>
    </xf>
    <xf numFmtId="10" fontId="13" fillId="0" borderId="12" xfId="26" applyNumberFormat="1" applyFill="1" applyBorder="1" applyAlignment="1">
      <alignment vertical="center"/>
      <protection/>
    </xf>
    <xf numFmtId="3" fontId="10" fillId="0" borderId="42" xfId="26" applyNumberFormat="1" applyFont="1" applyFill="1" applyBorder="1" applyAlignment="1">
      <alignment vertical="center"/>
      <protection/>
    </xf>
    <xf numFmtId="3" fontId="13" fillId="0" borderId="61" xfId="26" applyNumberFormat="1" applyFill="1" applyBorder="1" applyAlignment="1">
      <alignment vertical="center"/>
      <protection/>
    </xf>
    <xf numFmtId="3" fontId="13" fillId="0" borderId="62" xfId="26" applyNumberFormat="1" applyFill="1" applyBorder="1" applyAlignment="1">
      <alignment vertical="center"/>
      <protection/>
    </xf>
    <xf numFmtId="3" fontId="13" fillId="0" borderId="63" xfId="26" applyNumberFormat="1" applyFill="1" applyBorder="1" applyAlignment="1">
      <alignment vertical="center"/>
      <protection/>
    </xf>
    <xf numFmtId="3" fontId="13" fillId="0" borderId="34" xfId="26" applyNumberFormat="1" applyFill="1" applyBorder="1" applyAlignment="1">
      <alignment vertical="center"/>
      <protection/>
    </xf>
    <xf numFmtId="0" fontId="13" fillId="0" borderId="62" xfId="26" applyFill="1" applyBorder="1" applyAlignment="1">
      <alignment vertical="center"/>
      <protection/>
    </xf>
    <xf numFmtId="168" fontId="13" fillId="0" borderId="46" xfId="26" applyNumberFormat="1" applyFill="1" applyBorder="1" applyAlignment="1">
      <alignment vertical="center"/>
      <protection/>
    </xf>
    <xf numFmtId="3" fontId="13" fillId="0" borderId="64" xfId="26" applyNumberFormat="1" applyFill="1" applyBorder="1" applyAlignment="1">
      <alignment vertical="center"/>
      <protection/>
    </xf>
    <xf numFmtId="168" fontId="13" fillId="0" borderId="22" xfId="26" applyNumberFormat="1" applyFill="1" applyBorder="1" applyAlignment="1">
      <alignment vertical="center"/>
      <protection/>
    </xf>
    <xf numFmtId="164" fontId="10" fillId="0" borderId="29" xfId="26" applyNumberFormat="1" applyFont="1" applyFill="1" applyBorder="1" applyAlignment="1">
      <alignment vertical="center"/>
      <protection/>
    </xf>
    <xf numFmtId="165" fontId="13" fillId="0" borderId="65" xfId="26" applyNumberFormat="1" applyFill="1" applyBorder="1" applyAlignment="1">
      <alignment vertical="center"/>
      <protection/>
    </xf>
    <xf numFmtId="165" fontId="13" fillId="0" borderId="13" xfId="26" applyNumberFormat="1" applyFill="1" applyBorder="1" applyAlignment="1">
      <alignment vertical="center"/>
      <protection/>
    </xf>
    <xf numFmtId="165" fontId="13" fillId="0" borderId="66" xfId="26" applyNumberFormat="1" applyFill="1" applyBorder="1" applyAlignment="1">
      <alignment vertical="center"/>
      <protection/>
    </xf>
    <xf numFmtId="165" fontId="10" fillId="0" borderId="29" xfId="26" applyNumberFormat="1" applyFont="1" applyFill="1" applyBorder="1" applyAlignment="1">
      <alignment vertical="center"/>
      <protection/>
    </xf>
    <xf numFmtId="165" fontId="13" fillId="0" borderId="67" xfId="26" applyNumberFormat="1" applyFill="1" applyBorder="1" applyAlignment="1">
      <alignment vertical="center"/>
      <protection/>
    </xf>
    <xf numFmtId="165" fontId="13" fillId="0" borderId="24" xfId="26" applyNumberFormat="1" applyFill="1" applyBorder="1" applyAlignment="1">
      <alignment vertical="center"/>
      <protection/>
    </xf>
    <xf numFmtId="169" fontId="13" fillId="0" borderId="55" xfId="26" applyNumberFormat="1" applyFill="1" applyBorder="1" applyAlignment="1">
      <alignment vertical="center"/>
      <protection/>
    </xf>
    <xf numFmtId="3" fontId="13" fillId="0" borderId="51" xfId="26" applyNumberFormat="1" applyFont="1" applyFill="1" applyBorder="1" applyAlignment="1">
      <alignment vertical="center"/>
      <protection/>
    </xf>
    <xf numFmtId="10" fontId="10" fillId="0" borderId="50" xfId="26" applyNumberFormat="1" applyFont="1" applyFill="1" applyBorder="1" applyAlignment="1">
      <alignment vertical="center"/>
      <protection/>
    </xf>
    <xf numFmtId="0" fontId="10" fillId="0" borderId="0" xfId="26" applyFont="1" applyFill="1" applyBorder="1" applyAlignment="1">
      <alignment vertical="center"/>
      <protection/>
    </xf>
    <xf numFmtId="4" fontId="10" fillId="0" borderId="0" xfId="26" applyNumberFormat="1" applyFont="1" applyFill="1" applyBorder="1" applyAlignment="1">
      <alignment vertical="center"/>
      <protection/>
    </xf>
    <xf numFmtId="0" fontId="10" fillId="0" borderId="0" xfId="26" applyFont="1" applyFill="1" applyAlignment="1">
      <alignment vertical="center"/>
      <protection/>
    </xf>
    <xf numFmtId="3" fontId="10" fillId="0" borderId="47" xfId="26" applyNumberFormat="1" applyFont="1" applyFill="1" applyBorder="1" applyAlignment="1">
      <alignment vertical="center"/>
      <protection/>
    </xf>
    <xf numFmtId="165" fontId="13" fillId="0" borderId="51" xfId="26" applyNumberFormat="1" applyFill="1" applyBorder="1" applyAlignment="1">
      <alignment vertical="center"/>
      <protection/>
    </xf>
    <xf numFmtId="165" fontId="13" fillId="0" borderId="64" xfId="26" applyNumberFormat="1" applyFill="1" applyBorder="1" applyAlignment="1">
      <alignment vertical="center"/>
      <protection/>
    </xf>
    <xf numFmtId="168" fontId="13" fillId="0" borderId="62" xfId="26" applyNumberFormat="1" applyFill="1" applyBorder="1" applyAlignment="1">
      <alignment vertical="center"/>
      <protection/>
    </xf>
    <xf numFmtId="165" fontId="13" fillId="0" borderId="62" xfId="26" applyNumberFormat="1" applyFill="1" applyBorder="1" applyAlignment="1">
      <alignment vertical="center"/>
      <protection/>
    </xf>
    <xf numFmtId="0" fontId="13" fillId="0" borderId="68" xfId="26" applyFill="1" applyBorder="1" applyAlignment="1">
      <alignment vertical="center"/>
      <protection/>
    </xf>
    <xf numFmtId="10" fontId="13" fillId="0" borderId="53" xfId="26" applyNumberFormat="1" applyFill="1" applyBorder="1" applyAlignment="1">
      <alignment vertical="center"/>
      <protection/>
    </xf>
    <xf numFmtId="165" fontId="13" fillId="0" borderId="68" xfId="26" applyNumberFormat="1" applyFill="1" applyBorder="1" applyAlignment="1">
      <alignment vertical="center"/>
      <protection/>
    </xf>
    <xf numFmtId="169" fontId="13" fillId="0" borderId="61" xfId="26" applyNumberFormat="1" applyFill="1" applyBorder="1" applyAlignment="1">
      <alignment vertical="center"/>
      <protection/>
    </xf>
    <xf numFmtId="0" fontId="25" fillId="0" borderId="69" xfId="26" applyFont="1" applyFill="1" applyBorder="1" applyAlignment="1">
      <alignment horizontal="center" vertical="center" wrapText="1" shrinkToFit="1"/>
      <protection/>
    </xf>
    <xf numFmtId="0" fontId="10" fillId="0" borderId="0" xfId="26" applyFont="1" applyFill="1" applyBorder="1" applyAlignment="1">
      <alignment horizontal="right" vertical="center"/>
      <protection/>
    </xf>
    <xf numFmtId="0" fontId="25" fillId="0" borderId="70" xfId="26" applyFont="1" applyFill="1" applyBorder="1" applyAlignment="1">
      <alignment vertical="center" wrapText="1" shrinkToFit="1"/>
      <protection/>
    </xf>
    <xf numFmtId="0" fontId="25" fillId="0" borderId="71" xfId="26" applyFont="1" applyFill="1" applyBorder="1" applyAlignment="1">
      <alignment horizontal="center" vertical="center" wrapText="1" shrinkToFit="1"/>
      <protection/>
    </xf>
    <xf numFmtId="0" fontId="25" fillId="0" borderId="70" xfId="26" applyFont="1" applyFill="1" applyBorder="1" applyAlignment="1">
      <alignment vertical="center" wrapText="1"/>
      <protection/>
    </xf>
    <xf numFmtId="0" fontId="10" fillId="0" borderId="72" xfId="26" applyFont="1" applyFill="1" applyBorder="1" applyAlignment="1">
      <alignment horizontal="center" vertical="center"/>
      <protection/>
    </xf>
    <xf numFmtId="0" fontId="10" fillId="0" borderId="0" xfId="26" applyFont="1" applyFill="1" applyBorder="1" applyAlignment="1">
      <alignment vertical="center" wrapText="1" shrinkToFit="1"/>
      <protection/>
    </xf>
    <xf numFmtId="168" fontId="10" fillId="0" borderId="0" xfId="26" applyNumberFormat="1" applyFont="1" applyFill="1" applyBorder="1" applyAlignment="1">
      <alignment vertical="center" wrapText="1"/>
      <protection/>
    </xf>
    <xf numFmtId="168" fontId="10" fillId="0" borderId="0" xfId="26" applyNumberFormat="1" applyFont="1" applyFill="1" applyBorder="1" applyAlignment="1">
      <alignment vertical="center" wrapText="1" shrinkToFit="1"/>
      <protection/>
    </xf>
    <xf numFmtId="0" fontId="25" fillId="0" borderId="0" xfId="26" applyFont="1" applyFill="1" applyBorder="1" applyAlignment="1">
      <alignment vertical="center" wrapText="1" shrinkToFit="1"/>
      <protection/>
    </xf>
    <xf numFmtId="165" fontId="10" fillId="0" borderId="0" xfId="26" applyNumberFormat="1" applyFont="1" applyFill="1" applyBorder="1" applyAlignment="1">
      <alignment vertical="center" wrapText="1"/>
      <protection/>
    </xf>
    <xf numFmtId="165" fontId="10" fillId="0" borderId="0" xfId="26" applyNumberFormat="1" applyFont="1" applyFill="1" applyBorder="1" applyAlignment="1">
      <alignment vertical="center" wrapText="1" shrinkToFit="1"/>
      <protection/>
    </xf>
    <xf numFmtId="167" fontId="17" fillId="0" borderId="0" xfId="22" applyNumberFormat="1" applyFont="1" applyAlignment="1">
      <alignment vertical="center"/>
      <protection/>
    </xf>
    <xf numFmtId="167" fontId="18" fillId="0" borderId="0" xfId="22" applyNumberFormat="1" applyFont="1" applyAlignment="1">
      <alignment horizontal="center" vertical="center"/>
      <protection/>
    </xf>
    <xf numFmtId="167" fontId="17" fillId="0" borderId="0" xfId="22" applyNumberFormat="1" applyFont="1" applyAlignment="1">
      <alignment horizontal="right" vertical="center"/>
      <protection/>
    </xf>
    <xf numFmtId="167" fontId="18" fillId="0" borderId="73" xfId="22" applyNumberFormat="1" applyFont="1" applyBorder="1" applyAlignment="1">
      <alignment horizontal="center" vertical="center" wrapText="1"/>
      <protection/>
    </xf>
    <xf numFmtId="167" fontId="18" fillId="0" borderId="0" xfId="22" applyNumberFormat="1" applyFont="1" applyAlignment="1">
      <alignment vertical="center"/>
      <protection/>
    </xf>
    <xf numFmtId="167" fontId="18" fillId="0" borderId="43" xfId="22" applyNumberFormat="1" applyFont="1" applyBorder="1" applyAlignment="1">
      <alignment vertical="center"/>
      <protection/>
    </xf>
    <xf numFmtId="167" fontId="18" fillId="0" borderId="36" xfId="22" applyNumberFormat="1" applyFont="1" applyBorder="1" applyAlignment="1">
      <alignment vertical="center"/>
      <protection/>
    </xf>
    <xf numFmtId="167" fontId="18" fillId="0" borderId="42" xfId="22" applyNumberFormat="1" applyFont="1" applyBorder="1" applyAlignment="1">
      <alignment vertical="center"/>
      <protection/>
    </xf>
    <xf numFmtId="167" fontId="18" fillId="0" borderId="0" xfId="22" applyNumberFormat="1" applyFont="1" applyAlignment="1">
      <alignment vertical="center"/>
      <protection/>
    </xf>
    <xf numFmtId="167" fontId="30" fillId="0" borderId="43" xfId="22" applyNumberFormat="1" applyFont="1" applyBorder="1" applyAlignment="1">
      <alignment vertical="center"/>
      <protection/>
    </xf>
    <xf numFmtId="167" fontId="30" fillId="0" borderId="74" xfId="22" applyNumberFormat="1" applyFont="1" applyBorder="1" applyAlignment="1">
      <alignment vertical="center"/>
      <protection/>
    </xf>
    <xf numFmtId="167" fontId="18" fillId="0" borderId="75" xfId="22" applyNumberFormat="1" applyFont="1" applyBorder="1" applyAlignment="1">
      <alignment horizontal="center" vertical="center"/>
      <protection/>
    </xf>
    <xf numFmtId="167" fontId="18" fillId="0" borderId="76" xfId="22" applyNumberFormat="1" applyFont="1" applyBorder="1" applyAlignment="1">
      <alignment horizontal="center" vertical="center"/>
      <protection/>
    </xf>
    <xf numFmtId="167" fontId="17" fillId="0" borderId="16" xfId="22" applyNumberFormat="1" applyFont="1" applyBorder="1" applyAlignment="1">
      <alignment vertical="center"/>
      <protection/>
    </xf>
    <xf numFmtId="167" fontId="17" fillId="0" borderId="17" xfId="22" applyNumberFormat="1" applyFont="1" applyBorder="1" applyAlignment="1">
      <alignment vertical="center"/>
      <protection/>
    </xf>
    <xf numFmtId="167" fontId="17" fillId="0" borderId="77" xfId="22" applyNumberFormat="1" applyFont="1" applyBorder="1" applyAlignment="1">
      <alignment vertical="center"/>
      <protection/>
    </xf>
    <xf numFmtId="167" fontId="17" fillId="0" borderId="4" xfId="22" applyNumberFormat="1" applyFont="1" applyBorder="1" applyAlignment="1">
      <alignment vertical="center"/>
      <protection/>
    </xf>
    <xf numFmtId="167" fontId="17" fillId="0" borderId="5" xfId="22" applyNumberFormat="1" applyFont="1" applyBorder="1" applyAlignment="1">
      <alignment vertical="center"/>
      <protection/>
    </xf>
    <xf numFmtId="167" fontId="17" fillId="0" borderId="6" xfId="22" applyNumberFormat="1" applyFont="1" applyBorder="1" applyAlignment="1">
      <alignment vertical="center"/>
      <protection/>
    </xf>
    <xf numFmtId="167" fontId="18" fillId="0" borderId="4" xfId="22" applyNumberFormat="1" applyFont="1" applyBorder="1" applyAlignment="1">
      <alignment vertical="center"/>
      <protection/>
    </xf>
    <xf numFmtId="167" fontId="18" fillId="0" borderId="5" xfId="22" applyNumberFormat="1" applyFont="1" applyBorder="1" applyAlignment="1">
      <alignment vertical="center"/>
      <protection/>
    </xf>
    <xf numFmtId="167" fontId="18" fillId="0" borderId="7" xfId="22" applyNumberFormat="1" applyFont="1" applyBorder="1" applyAlignment="1">
      <alignment vertical="center"/>
      <protection/>
    </xf>
    <xf numFmtId="167" fontId="18" fillId="0" borderId="8" xfId="22" applyNumberFormat="1" applyFont="1" applyBorder="1" applyAlignment="1">
      <alignment vertical="center"/>
      <protection/>
    </xf>
    <xf numFmtId="167" fontId="17" fillId="0" borderId="19" xfId="22" applyNumberFormat="1" applyFont="1" applyBorder="1" applyAlignment="1">
      <alignment vertical="center"/>
      <protection/>
    </xf>
    <xf numFmtId="167" fontId="17" fillId="0" borderId="22" xfId="22" applyNumberFormat="1" applyFont="1" applyBorder="1" applyAlignment="1">
      <alignment vertical="center"/>
      <protection/>
    </xf>
    <xf numFmtId="167" fontId="17" fillId="0" borderId="25" xfId="22" applyNumberFormat="1" applyFont="1" applyBorder="1" applyAlignment="1">
      <alignment vertical="center"/>
      <protection/>
    </xf>
    <xf numFmtId="167" fontId="17" fillId="0" borderId="20" xfId="22" applyNumberFormat="1" applyFont="1" applyBorder="1" applyAlignment="1">
      <alignment vertical="center"/>
      <protection/>
    </xf>
    <xf numFmtId="167" fontId="17" fillId="0" borderId="46" xfId="22" applyNumberFormat="1" applyFont="1" applyBorder="1" applyAlignment="1">
      <alignment vertical="center"/>
      <protection/>
    </xf>
    <xf numFmtId="167" fontId="17" fillId="0" borderId="78" xfId="22" applyNumberFormat="1" applyFont="1" applyBorder="1" applyAlignment="1">
      <alignment vertical="center"/>
      <protection/>
    </xf>
    <xf numFmtId="167" fontId="18" fillId="0" borderId="79" xfId="22" applyNumberFormat="1" applyFont="1" applyBorder="1" applyAlignment="1">
      <alignment vertical="center"/>
      <protection/>
    </xf>
    <xf numFmtId="167" fontId="18" fillId="0" borderId="45" xfId="22" applyNumberFormat="1" applyFont="1" applyBorder="1" applyAlignment="1">
      <alignment vertical="center"/>
      <protection/>
    </xf>
    <xf numFmtId="167" fontId="17" fillId="0" borderId="80" xfId="22" applyNumberFormat="1" applyFont="1" applyBorder="1" applyAlignment="1">
      <alignment vertical="center"/>
      <protection/>
    </xf>
    <xf numFmtId="167" fontId="18" fillId="0" borderId="80" xfId="22" applyNumberFormat="1" applyFont="1" applyBorder="1" applyAlignment="1">
      <alignment vertical="center"/>
      <protection/>
    </xf>
    <xf numFmtId="167" fontId="17" fillId="0" borderId="80" xfId="22" applyNumberFormat="1" applyFont="1" applyBorder="1" applyAlignment="1">
      <alignment vertical="center"/>
      <protection/>
    </xf>
    <xf numFmtId="4" fontId="17" fillId="0" borderId="0" xfId="22" applyNumberFormat="1" applyFont="1" applyAlignment="1">
      <alignment vertical="center"/>
      <protection/>
    </xf>
    <xf numFmtId="4" fontId="18" fillId="0" borderId="0" xfId="22" applyNumberFormat="1" applyFont="1" applyAlignment="1">
      <alignment vertical="center"/>
      <protection/>
    </xf>
    <xf numFmtId="167" fontId="17" fillId="0" borderId="17" xfId="22" applyNumberFormat="1" applyFont="1" applyBorder="1" applyAlignment="1">
      <alignment vertical="center" wrapText="1"/>
      <protection/>
    </xf>
    <xf numFmtId="167" fontId="17" fillId="0" borderId="9" xfId="22" applyNumberFormat="1" applyFont="1" applyBorder="1" applyAlignment="1">
      <alignment vertical="center"/>
      <protection/>
    </xf>
    <xf numFmtId="4" fontId="13" fillId="0" borderId="12" xfId="26" applyNumberFormat="1" applyFill="1" applyBorder="1" applyAlignment="1">
      <alignment vertical="center"/>
      <protection/>
    </xf>
    <xf numFmtId="4" fontId="10" fillId="0" borderId="42" xfId="26" applyNumberFormat="1" applyFont="1" applyFill="1" applyBorder="1" applyAlignment="1">
      <alignment vertical="center"/>
      <protection/>
    </xf>
    <xf numFmtId="4" fontId="27" fillId="0" borderId="36" xfId="26" applyNumberFormat="1" applyFont="1" applyFill="1" applyBorder="1" applyAlignment="1">
      <alignment vertical="center"/>
      <protection/>
    </xf>
    <xf numFmtId="3" fontId="13" fillId="2" borderId="0" xfId="29" applyNumberFormat="1" applyFont="1" applyFill="1" applyAlignment="1">
      <alignment vertical="center" wrapText="1"/>
      <protection/>
    </xf>
    <xf numFmtId="0" fontId="35" fillId="2" borderId="0" xfId="29" applyFont="1" applyFill="1" applyBorder="1" applyAlignment="1">
      <alignment vertical="center" wrapText="1"/>
      <protection/>
    </xf>
    <xf numFmtId="3" fontId="10" fillId="2" borderId="0" xfId="29" applyNumberFormat="1" applyFont="1" applyFill="1" applyAlignment="1">
      <alignment vertical="center"/>
      <protection/>
    </xf>
    <xf numFmtId="3" fontId="10" fillId="2" borderId="0" xfId="29" applyNumberFormat="1" applyFont="1" applyFill="1" applyAlignment="1">
      <alignment horizontal="center" vertical="center"/>
      <protection/>
    </xf>
    <xf numFmtId="3" fontId="10" fillId="2" borderId="0" xfId="29" applyNumberFormat="1" applyFont="1" applyFill="1" applyAlignment="1">
      <alignment horizontal="center" vertical="center" wrapText="1"/>
      <protection/>
    </xf>
    <xf numFmtId="0" fontId="13" fillId="2" borderId="4" xfId="29" applyNumberFormat="1" applyFont="1" applyFill="1" applyBorder="1" applyAlignment="1">
      <alignment horizontal="center" vertical="center" wrapText="1"/>
      <protection/>
    </xf>
    <xf numFmtId="167" fontId="13" fillId="2" borderId="5" xfId="29" applyNumberFormat="1" applyFont="1" applyFill="1" applyBorder="1" applyAlignment="1" applyProtection="1">
      <alignment horizontal="center" vertical="center" wrapText="1"/>
      <protection locked="0"/>
    </xf>
    <xf numFmtId="3" fontId="10" fillId="2" borderId="5" xfId="29" applyNumberFormat="1" applyFont="1" applyFill="1" applyBorder="1" applyAlignment="1">
      <alignment horizontal="right" vertical="center" wrapText="1"/>
      <protection/>
    </xf>
    <xf numFmtId="3" fontId="13" fillId="2" borderId="5" xfId="29" applyNumberFormat="1" applyFont="1" applyFill="1" applyBorder="1" applyAlignment="1">
      <alignment horizontal="right" vertical="center" wrapText="1"/>
      <protection/>
    </xf>
    <xf numFmtId="0" fontId="13" fillId="2" borderId="5" xfId="29" applyFont="1" applyFill="1" applyBorder="1" applyAlignment="1">
      <alignment horizontal="center" vertical="center" wrapText="1"/>
      <protection/>
    </xf>
    <xf numFmtId="3" fontId="10" fillId="2" borderId="6" xfId="29" applyNumberFormat="1" applyFont="1" applyFill="1" applyBorder="1" applyAlignment="1">
      <alignment horizontal="right" vertical="center" wrapText="1"/>
      <protection/>
    </xf>
    <xf numFmtId="3" fontId="13" fillId="2" borderId="5" xfId="29" applyNumberFormat="1" applyFont="1" applyFill="1" applyBorder="1" applyAlignment="1">
      <alignment horizontal="center" vertical="center" wrapText="1"/>
      <protection/>
    </xf>
    <xf numFmtId="3" fontId="18" fillId="0" borderId="5" xfId="29" applyNumberFormat="1" applyFont="1" applyFill="1" applyBorder="1" applyAlignment="1">
      <alignment horizontal="center" vertical="center" wrapText="1"/>
      <protection/>
    </xf>
    <xf numFmtId="167" fontId="13" fillId="2" borderId="4" xfId="29" applyNumberFormat="1" applyFont="1" applyFill="1" applyBorder="1" applyAlignment="1">
      <alignment horizontal="center" vertical="center" wrapText="1"/>
      <protection/>
    </xf>
    <xf numFmtId="3" fontId="10" fillId="2" borderId="5" xfId="29" applyNumberFormat="1" applyFont="1" applyFill="1" applyBorder="1" applyAlignment="1" applyProtection="1">
      <alignment horizontal="right" vertical="center" wrapText="1"/>
      <protection/>
    </xf>
    <xf numFmtId="3" fontId="13" fillId="2" borderId="5" xfId="29" applyNumberFormat="1" applyFont="1" applyFill="1" applyBorder="1" applyAlignment="1" applyProtection="1">
      <alignment vertical="center" wrapText="1"/>
      <protection locked="0"/>
    </xf>
    <xf numFmtId="167" fontId="13" fillId="2" borderId="4" xfId="28" applyNumberFormat="1" applyFont="1" applyFill="1" applyBorder="1" applyAlignment="1">
      <alignment horizontal="center" vertical="center" wrapText="1"/>
      <protection/>
    </xf>
    <xf numFmtId="14" fontId="13" fillId="2" borderId="5" xfId="28" applyNumberFormat="1" applyFont="1" applyFill="1" applyBorder="1" applyAlignment="1">
      <alignment horizontal="center" vertical="center" wrapText="1"/>
      <protection/>
    </xf>
    <xf numFmtId="3" fontId="10" fillId="2" borderId="5" xfId="28" applyNumberFormat="1" applyFont="1" applyFill="1" applyBorder="1" applyAlignment="1">
      <alignment horizontal="right" vertical="center" wrapText="1"/>
      <protection/>
    </xf>
    <xf numFmtId="3" fontId="13" fillId="2" borderId="5" xfId="28" applyNumberFormat="1" applyFont="1" applyFill="1" applyBorder="1" applyAlignment="1">
      <alignment horizontal="right" vertical="center" wrapText="1"/>
      <protection/>
    </xf>
    <xf numFmtId="0" fontId="13" fillId="2" borderId="5" xfId="28" applyFont="1" applyFill="1" applyBorder="1" applyAlignment="1">
      <alignment horizontal="center" vertical="center" wrapText="1"/>
      <protection/>
    </xf>
    <xf numFmtId="3" fontId="10" fillId="2" borderId="6" xfId="28" applyNumberFormat="1" applyFont="1" applyFill="1" applyBorder="1" applyAlignment="1">
      <alignment horizontal="right" vertical="center" wrapText="1"/>
      <protection/>
    </xf>
    <xf numFmtId="3" fontId="13" fillId="2" borderId="0" xfId="28" applyNumberFormat="1" applyFont="1" applyFill="1" applyAlignment="1">
      <alignment vertical="center" wrapText="1"/>
      <protection/>
    </xf>
    <xf numFmtId="3" fontId="10" fillId="2" borderId="6" xfId="29" applyNumberFormat="1" applyFont="1" applyFill="1" applyBorder="1" applyAlignment="1" applyProtection="1">
      <alignment horizontal="right" vertical="center" wrapText="1"/>
      <protection/>
    </xf>
    <xf numFmtId="3" fontId="13" fillId="2" borderId="5" xfId="29" applyNumberFormat="1" applyFont="1" applyFill="1" applyBorder="1" applyAlignment="1" applyProtection="1">
      <alignment horizontal="right" vertical="center" wrapText="1"/>
      <protection/>
    </xf>
    <xf numFmtId="167" fontId="13" fillId="2" borderId="5" xfId="29" applyNumberFormat="1" applyFont="1" applyFill="1" applyBorder="1" applyAlignment="1">
      <alignment horizontal="center" vertical="center" wrapText="1"/>
      <protection/>
    </xf>
    <xf numFmtId="3" fontId="18" fillId="2" borderId="5" xfId="28" applyNumberFormat="1" applyFont="1" applyFill="1" applyBorder="1" applyAlignment="1">
      <alignment horizontal="right" vertical="center" wrapText="1"/>
      <protection/>
    </xf>
    <xf numFmtId="0" fontId="13" fillId="2" borderId="4" xfId="28" applyNumberFormat="1" applyFont="1" applyFill="1" applyBorder="1" applyAlignment="1">
      <alignment horizontal="center" vertical="center" wrapText="1"/>
      <protection/>
    </xf>
    <xf numFmtId="0" fontId="13" fillId="2" borderId="5" xfId="28" applyNumberFormat="1" applyFont="1" applyFill="1" applyBorder="1" applyAlignment="1">
      <alignment horizontal="center" vertical="center" wrapText="1"/>
      <protection/>
    </xf>
    <xf numFmtId="3" fontId="13" fillId="2" borderId="5" xfId="28" applyNumberFormat="1" applyFont="1" applyFill="1" applyBorder="1" applyAlignment="1">
      <alignment vertical="center" wrapText="1"/>
      <protection/>
    </xf>
    <xf numFmtId="167" fontId="13" fillId="4" borderId="5" xfId="28" applyNumberFormat="1" applyFont="1" applyFill="1" applyBorder="1" applyAlignment="1" applyProtection="1">
      <alignment horizontal="center" vertical="center" wrapText="1"/>
      <protection/>
    </xf>
    <xf numFmtId="3" fontId="18" fillId="2" borderId="5" xfId="29" applyNumberFormat="1" applyFont="1" applyFill="1" applyBorder="1" applyAlignment="1">
      <alignment vertical="center" wrapText="1"/>
      <protection/>
    </xf>
    <xf numFmtId="167" fontId="13" fillId="2" borderId="5" xfId="29" applyNumberFormat="1" applyFont="1" applyFill="1" applyBorder="1" applyAlignment="1" applyProtection="1">
      <alignment horizontal="center" vertical="center" wrapText="1"/>
      <protection/>
    </xf>
    <xf numFmtId="3" fontId="10" fillId="2" borderId="6" xfId="29" applyNumberFormat="1" applyFont="1" applyFill="1" applyBorder="1" applyAlignment="1" applyProtection="1">
      <alignment horizontal="center" vertical="center" wrapText="1"/>
      <protection/>
    </xf>
    <xf numFmtId="3" fontId="13" fillId="2" borderId="5" xfId="29" applyNumberFormat="1" applyFont="1" applyFill="1" applyBorder="1" applyAlignment="1" applyProtection="1">
      <alignment horizontal="right" vertical="center" wrapText="1"/>
      <protection locked="0"/>
    </xf>
    <xf numFmtId="3" fontId="18" fillId="2" borderId="5" xfId="29" applyNumberFormat="1" applyFont="1" applyFill="1" applyBorder="1" applyAlignment="1" applyProtection="1">
      <alignment vertical="center" wrapText="1"/>
      <protection locked="0"/>
    </xf>
    <xf numFmtId="167" fontId="13" fillId="2" borderId="5" xfId="29" applyNumberFormat="1" applyFont="1" applyFill="1" applyBorder="1" applyAlignment="1" applyProtection="1" quotePrefix="1">
      <alignment horizontal="center" vertical="center" wrapText="1"/>
      <protection locked="0"/>
    </xf>
    <xf numFmtId="3" fontId="10" fillId="2" borderId="5" xfId="29" applyNumberFormat="1" applyFont="1" applyFill="1" applyBorder="1" applyAlignment="1" applyProtection="1">
      <alignment horizontal="center" vertical="center" wrapText="1"/>
      <protection/>
    </xf>
    <xf numFmtId="3" fontId="13" fillId="2" borderId="5" xfId="29" applyNumberFormat="1" applyFont="1" applyFill="1" applyBorder="1" applyAlignment="1" applyProtection="1">
      <alignment horizontal="center" vertical="center" wrapText="1"/>
      <protection/>
    </xf>
    <xf numFmtId="3" fontId="10" fillId="2" borderId="5" xfId="29" applyNumberFormat="1" applyFont="1" applyFill="1" applyBorder="1" applyAlignment="1">
      <alignment vertical="center" wrapText="1"/>
      <protection/>
    </xf>
    <xf numFmtId="3" fontId="13" fillId="2" borderId="5" xfId="29" applyNumberFormat="1" applyFont="1" applyFill="1" applyBorder="1" applyAlignment="1">
      <alignment vertical="center" wrapText="1"/>
      <protection/>
    </xf>
    <xf numFmtId="3" fontId="10" fillId="2" borderId="6" xfId="29" applyNumberFormat="1" applyFont="1" applyFill="1" applyBorder="1" applyAlignment="1">
      <alignment vertical="center" wrapText="1"/>
      <protection/>
    </xf>
    <xf numFmtId="167" fontId="13" fillId="2" borderId="5" xfId="28" applyNumberFormat="1" applyFont="1" applyFill="1" applyBorder="1" applyAlignment="1">
      <alignment horizontal="center" vertical="center" wrapText="1"/>
      <protection/>
    </xf>
    <xf numFmtId="0" fontId="13" fillId="2" borderId="5" xfId="29" applyNumberFormat="1" applyFont="1" applyFill="1" applyBorder="1" applyAlignment="1">
      <alignment horizontal="center" vertical="center" wrapText="1"/>
      <protection/>
    </xf>
    <xf numFmtId="3" fontId="13" fillId="2" borderId="4" xfId="29" applyNumberFormat="1" applyFont="1" applyFill="1" applyBorder="1" applyAlignment="1">
      <alignment horizontal="center" vertical="center" wrapText="1"/>
      <protection/>
    </xf>
    <xf numFmtId="0" fontId="37" fillId="2" borderId="4" xfId="28" applyNumberFormat="1" applyFont="1" applyFill="1" applyBorder="1" applyAlignment="1">
      <alignment horizontal="center" vertical="center" wrapText="1"/>
      <protection/>
    </xf>
    <xf numFmtId="3" fontId="13" fillId="0" borderId="0" xfId="29" applyNumberFormat="1" applyFont="1" applyFill="1" applyAlignment="1">
      <alignment vertical="center" wrapText="1"/>
      <protection/>
    </xf>
    <xf numFmtId="3" fontId="10" fillId="2" borderId="5" xfId="29" applyNumberFormat="1" applyFont="1" applyFill="1" applyBorder="1" applyAlignment="1">
      <alignment horizontal="center" vertical="center" wrapText="1"/>
      <protection/>
    </xf>
    <xf numFmtId="3" fontId="10" fillId="2" borderId="6" xfId="29" applyNumberFormat="1" applyFont="1" applyFill="1" applyBorder="1" applyAlignment="1">
      <alignment horizontal="center" vertical="center" wrapText="1"/>
      <protection/>
    </xf>
    <xf numFmtId="3" fontId="13" fillId="2" borderId="6" xfId="29" applyNumberFormat="1" applyFont="1" applyFill="1" applyBorder="1" applyAlignment="1">
      <alignment vertical="center" wrapText="1"/>
      <protection/>
    </xf>
    <xf numFmtId="3" fontId="18" fillId="2" borderId="8" xfId="29" applyNumberFormat="1" applyFont="1" applyFill="1" applyBorder="1" applyAlignment="1">
      <alignment vertical="center" wrapText="1"/>
      <protection/>
    </xf>
    <xf numFmtId="3" fontId="13" fillId="2" borderId="8" xfId="29" applyNumberFormat="1" applyFont="1" applyFill="1" applyBorder="1" applyAlignment="1">
      <alignment vertical="center" wrapText="1"/>
      <protection/>
    </xf>
    <xf numFmtId="3" fontId="13" fillId="2" borderId="9" xfId="29" applyNumberFormat="1" applyFont="1" applyFill="1" applyBorder="1" applyAlignment="1">
      <alignment vertical="center" wrapText="1"/>
      <protection/>
    </xf>
    <xf numFmtId="3" fontId="13" fillId="2" borderId="0" xfId="29" applyNumberFormat="1" applyFont="1" applyFill="1" applyAlignment="1">
      <alignment horizontal="center" vertical="center" wrapText="1"/>
      <protection/>
    </xf>
    <xf numFmtId="3" fontId="10" fillId="2" borderId="0" xfId="29" applyNumberFormat="1" applyFont="1" applyFill="1" applyAlignment="1">
      <alignment vertical="center" wrapText="1"/>
      <protection/>
    </xf>
    <xf numFmtId="3" fontId="13" fillId="2" borderId="16" xfId="29" applyNumberFormat="1" applyFont="1" applyFill="1" applyBorder="1" applyAlignment="1">
      <alignment horizontal="center" vertical="center" wrapText="1"/>
      <protection/>
    </xf>
    <xf numFmtId="3" fontId="13" fillId="2" borderId="17" xfId="29" applyNumberFormat="1" applyFont="1" applyFill="1" applyBorder="1" applyAlignment="1">
      <alignment vertical="center" wrapText="1"/>
      <protection/>
    </xf>
    <xf numFmtId="3" fontId="10" fillId="2" borderId="17" xfId="29" applyNumberFormat="1" applyFont="1" applyFill="1" applyBorder="1" applyAlignment="1">
      <alignment vertical="center" wrapText="1"/>
      <protection/>
    </xf>
    <xf numFmtId="3" fontId="13" fillId="2" borderId="77" xfId="29" applyNumberFormat="1" applyFont="1" applyFill="1" applyBorder="1" applyAlignment="1">
      <alignment vertical="center" wrapText="1"/>
      <protection/>
    </xf>
    <xf numFmtId="0" fontId="17" fillId="2" borderId="4" xfId="29" applyFont="1" applyFill="1" applyBorder="1" applyAlignment="1">
      <alignment horizontal="center" vertical="center" wrapText="1"/>
      <protection/>
    </xf>
    <xf numFmtId="0" fontId="17" fillId="2" borderId="5" xfId="29" applyFont="1" applyFill="1" applyBorder="1" applyAlignment="1">
      <alignment vertical="center" wrapText="1"/>
      <protection/>
    </xf>
    <xf numFmtId="3" fontId="17" fillId="2" borderId="6" xfId="29" applyNumberFormat="1" applyFont="1" applyFill="1" applyBorder="1" applyAlignment="1">
      <alignment vertical="center" wrapText="1"/>
      <protection/>
    </xf>
    <xf numFmtId="167" fontId="17" fillId="2" borderId="5" xfId="29" applyNumberFormat="1" applyFont="1" applyFill="1" applyBorder="1" applyAlignment="1">
      <alignment vertical="center" wrapText="1"/>
      <protection/>
    </xf>
    <xf numFmtId="3" fontId="17" fillId="2" borderId="5" xfId="29" applyNumberFormat="1" applyFont="1" applyFill="1" applyBorder="1" applyAlignment="1">
      <alignment vertical="center" wrapText="1"/>
      <protection/>
    </xf>
    <xf numFmtId="0" fontId="17" fillId="2" borderId="8" xfId="29" applyFont="1" applyFill="1" applyBorder="1" applyAlignment="1">
      <alignment vertical="center" wrapText="1"/>
      <protection/>
    </xf>
    <xf numFmtId="3" fontId="17" fillId="2" borderId="9" xfId="29" applyNumberFormat="1" applyFont="1" applyFill="1" applyBorder="1" applyAlignment="1">
      <alignment vertical="center" wrapText="1"/>
      <protection/>
    </xf>
    <xf numFmtId="3" fontId="13" fillId="2" borderId="81" xfId="29" applyNumberFormat="1" applyFont="1" applyFill="1" applyBorder="1" applyAlignment="1">
      <alignment horizontal="center" vertical="center" wrapText="1"/>
      <protection/>
    </xf>
    <xf numFmtId="3" fontId="13" fillId="2" borderId="81" xfId="29" applyNumberFormat="1" applyFont="1" applyFill="1" applyBorder="1" applyAlignment="1">
      <alignment vertical="center" wrapText="1"/>
      <protection/>
    </xf>
    <xf numFmtId="3" fontId="10" fillId="2" borderId="81" xfId="29" applyNumberFormat="1" applyFont="1" applyFill="1" applyBorder="1" applyAlignment="1">
      <alignment vertical="center" wrapText="1"/>
      <protection/>
    </xf>
    <xf numFmtId="4" fontId="13" fillId="0" borderId="82" xfId="26" applyNumberForma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3" fontId="15" fillId="0" borderId="19" xfId="26" applyNumberFormat="1" applyFont="1" applyFill="1" applyBorder="1" applyAlignment="1">
      <alignment vertical="center"/>
      <protection/>
    </xf>
    <xf numFmtId="0" fontId="9" fillId="0" borderId="0" xfId="21" applyFont="1" applyFill="1" applyBorder="1">
      <alignment/>
      <protection/>
    </xf>
    <xf numFmtId="0" fontId="9" fillId="0" borderId="49" xfId="21" applyFont="1" applyFill="1" applyBorder="1">
      <alignment/>
      <protection/>
    </xf>
    <xf numFmtId="0" fontId="9" fillId="0" borderId="72" xfId="21" applyFill="1" applyBorder="1" applyAlignment="1">
      <alignment/>
      <protection/>
    </xf>
    <xf numFmtId="0" fontId="9" fillId="0" borderId="71" xfId="21" applyFill="1" applyBorder="1" applyAlignment="1">
      <alignment/>
      <protection/>
    </xf>
    <xf numFmtId="0" fontId="9" fillId="0" borderId="83" xfId="21" applyFont="1" applyFill="1" applyBorder="1">
      <alignment/>
      <protection/>
    </xf>
    <xf numFmtId="0" fontId="9" fillId="0" borderId="71" xfId="21" applyFont="1" applyFill="1" applyBorder="1">
      <alignment/>
      <protection/>
    </xf>
    <xf numFmtId="0" fontId="9" fillId="0" borderId="0" xfId="21" applyFill="1" applyBorder="1" applyAlignment="1">
      <alignment/>
      <protection/>
    </xf>
    <xf numFmtId="0" fontId="9" fillId="0" borderId="49" xfId="21" applyFill="1" applyBorder="1" applyAlignment="1">
      <alignment/>
      <protection/>
    </xf>
    <xf numFmtId="0" fontId="9" fillId="0" borderId="5" xfId="21" applyBorder="1" applyAlignment="1">
      <alignment/>
      <protection/>
    </xf>
    <xf numFmtId="3" fontId="9" fillId="0" borderId="5" xfId="21" applyNumberFormat="1" applyBorder="1">
      <alignment/>
      <protection/>
    </xf>
    <xf numFmtId="3" fontId="23" fillId="0" borderId="5" xfId="21" applyNumberFormat="1" applyFont="1" applyBorder="1">
      <alignment/>
      <protection/>
    </xf>
    <xf numFmtId="3" fontId="23" fillId="0" borderId="56" xfId="21" applyNumberFormat="1" applyFont="1" applyBorder="1">
      <alignment/>
      <protection/>
    </xf>
    <xf numFmtId="0" fontId="1" fillId="0" borderId="84" xfId="21" applyFont="1" applyFill="1" applyBorder="1" applyAlignment="1">
      <alignment horizontal="left"/>
      <protection/>
    </xf>
    <xf numFmtId="3" fontId="23" fillId="0" borderId="44" xfId="21" applyNumberFormat="1" applyFont="1" applyBorder="1">
      <alignment/>
      <protection/>
    </xf>
    <xf numFmtId="0" fontId="9" fillId="0" borderId="56" xfId="21" applyBorder="1" applyAlignment="1">
      <alignment/>
      <protection/>
    </xf>
    <xf numFmtId="0" fontId="1" fillId="0" borderId="85" xfId="21" applyFont="1" applyBorder="1" applyAlignment="1">
      <alignment horizontal="center"/>
      <protection/>
    </xf>
    <xf numFmtId="0" fontId="1" fillId="0" borderId="81" xfId="21" applyFont="1" applyBorder="1" applyAlignment="1">
      <alignment horizontal="center"/>
      <protection/>
    </xf>
    <xf numFmtId="0" fontId="1" fillId="0" borderId="86" xfId="21" applyFont="1" applyBorder="1" applyAlignment="1">
      <alignment horizontal="center"/>
      <protection/>
    </xf>
    <xf numFmtId="3" fontId="23" fillId="0" borderId="87" xfId="21" applyNumberFormat="1" applyFont="1" applyBorder="1">
      <alignment/>
      <protection/>
    </xf>
    <xf numFmtId="0" fontId="1" fillId="0" borderId="88" xfId="21" applyFont="1" applyFill="1" applyBorder="1" applyAlignment="1">
      <alignment horizontal="left"/>
      <protection/>
    </xf>
    <xf numFmtId="3" fontId="23" fillId="0" borderId="89" xfId="21" applyNumberFormat="1" applyFont="1" applyBorder="1">
      <alignment/>
      <protection/>
    </xf>
    <xf numFmtId="0" fontId="1" fillId="0" borderId="90" xfId="21" applyFont="1" applyFill="1" applyBorder="1" applyAlignment="1">
      <alignment/>
      <protection/>
    </xf>
    <xf numFmtId="0" fontId="9" fillId="0" borderId="87" xfId="21" applyBorder="1" applyAlignment="1">
      <alignment/>
      <protection/>
    </xf>
    <xf numFmtId="0" fontId="9" fillId="0" borderId="2" xfId="21" applyFont="1" applyFill="1" applyBorder="1">
      <alignment/>
      <protection/>
    </xf>
    <xf numFmtId="3" fontId="9" fillId="0" borderId="6" xfId="21" applyNumberFormat="1" applyBorder="1">
      <alignment/>
      <protection/>
    </xf>
    <xf numFmtId="0" fontId="23" fillId="0" borderId="2" xfId="21" applyFont="1" applyFill="1" applyBorder="1">
      <alignment/>
      <protection/>
    </xf>
    <xf numFmtId="3" fontId="23" fillId="0" borderId="6" xfId="21" applyNumberFormat="1" applyFont="1" applyBorder="1">
      <alignment/>
      <protection/>
    </xf>
    <xf numFmtId="0" fontId="9" fillId="0" borderId="2" xfId="21" applyFont="1" applyFill="1" applyBorder="1" applyAlignment="1">
      <alignment/>
      <protection/>
    </xf>
    <xf numFmtId="0" fontId="9" fillId="0" borderId="6" xfId="21" applyBorder="1" applyAlignment="1">
      <alignment/>
      <protection/>
    </xf>
    <xf numFmtId="0" fontId="9" fillId="0" borderId="76" xfId="21" applyFont="1" applyFill="1" applyBorder="1">
      <alignment/>
      <protection/>
    </xf>
    <xf numFmtId="0" fontId="9" fillId="0" borderId="91" xfId="21" applyFont="1" applyFill="1" applyBorder="1">
      <alignment/>
      <protection/>
    </xf>
    <xf numFmtId="3" fontId="9" fillId="0" borderId="8" xfId="21" applyNumberFormat="1" applyBorder="1">
      <alignment/>
      <protection/>
    </xf>
    <xf numFmtId="3" fontId="9" fillId="0" borderId="9" xfId="21" applyNumberFormat="1" applyBorder="1">
      <alignment/>
      <protection/>
    </xf>
    <xf numFmtId="0" fontId="9" fillId="0" borderId="0" xfId="21" applyFont="1">
      <alignment/>
      <protection/>
    </xf>
    <xf numFmtId="0" fontId="9" fillId="0" borderId="0" xfId="21" applyFont="1" applyAlignment="1">
      <alignment horizontal="right"/>
      <protection/>
    </xf>
    <xf numFmtId="3" fontId="9" fillId="0" borderId="1" xfId="21" applyNumberFormat="1" applyBorder="1">
      <alignment/>
      <protection/>
    </xf>
    <xf numFmtId="0" fontId="9" fillId="0" borderId="14" xfId="21" applyFont="1" applyFill="1" applyBorder="1">
      <alignment/>
      <protection/>
    </xf>
    <xf numFmtId="3" fontId="23" fillId="0" borderId="1" xfId="21" applyNumberFormat="1" applyFont="1" applyBorder="1">
      <alignment/>
      <protection/>
    </xf>
    <xf numFmtId="0" fontId="1" fillId="0" borderId="92" xfId="21" applyFont="1" applyBorder="1" applyAlignment="1">
      <alignment horizontal="center"/>
      <protection/>
    </xf>
    <xf numFmtId="3" fontId="23" fillId="0" borderId="93" xfId="21" applyNumberFormat="1" applyFont="1" applyBorder="1">
      <alignment/>
      <protection/>
    </xf>
    <xf numFmtId="3" fontId="23" fillId="0" borderId="94" xfId="21" applyNumberFormat="1" applyFont="1" applyBorder="1">
      <alignment/>
      <protection/>
    </xf>
    <xf numFmtId="0" fontId="9" fillId="0" borderId="93" xfId="21" applyBorder="1" applyAlignment="1">
      <alignment/>
      <protection/>
    </xf>
    <xf numFmtId="0" fontId="9" fillId="0" borderId="1" xfId="21" applyBorder="1" applyAlignment="1">
      <alignment/>
      <protection/>
    </xf>
    <xf numFmtId="3" fontId="9" fillId="0" borderId="41" xfId="21" applyNumberFormat="1" applyBorder="1">
      <alignment/>
      <protection/>
    </xf>
    <xf numFmtId="0" fontId="9" fillId="0" borderId="95" xfId="21" applyFont="1" applyFill="1" applyBorder="1">
      <alignment/>
      <protection/>
    </xf>
    <xf numFmtId="0" fontId="9" fillId="0" borderId="10" xfId="21" applyFont="1" applyFill="1" applyBorder="1">
      <alignment/>
      <protection/>
    </xf>
    <xf numFmtId="0" fontId="23" fillId="0" borderId="10" xfId="21" applyFont="1" applyFill="1" applyBorder="1">
      <alignment/>
      <protection/>
    </xf>
    <xf numFmtId="0" fontId="9" fillId="0" borderId="10" xfId="21" applyFont="1" applyFill="1" applyBorder="1" applyAlignment="1">
      <alignment/>
      <protection/>
    </xf>
    <xf numFmtId="0" fontId="9" fillId="0" borderId="96" xfId="21" applyFont="1" applyFill="1" applyBorder="1">
      <alignment/>
      <protection/>
    </xf>
    <xf numFmtId="0" fontId="9" fillId="0" borderId="97" xfId="21" applyFont="1" applyFill="1" applyBorder="1">
      <alignment/>
      <protection/>
    </xf>
    <xf numFmtId="0" fontId="9" fillId="0" borderId="98" xfId="21" applyFont="1" applyFill="1" applyBorder="1">
      <alignment/>
      <protection/>
    </xf>
    <xf numFmtId="0" fontId="9" fillId="0" borderId="99" xfId="21" applyFont="1" applyFill="1" applyBorder="1">
      <alignment/>
      <protection/>
    </xf>
    <xf numFmtId="3" fontId="9" fillId="0" borderId="23" xfId="21" applyNumberFormat="1" applyBorder="1">
      <alignment/>
      <protection/>
    </xf>
    <xf numFmtId="3" fontId="9" fillId="0" borderId="22" xfId="21" applyNumberFormat="1" applyBorder="1">
      <alignment/>
      <protection/>
    </xf>
    <xf numFmtId="3" fontId="9" fillId="0" borderId="25" xfId="21" applyNumberFormat="1" applyBorder="1">
      <alignment/>
      <protection/>
    </xf>
    <xf numFmtId="0" fontId="0" fillId="0" borderId="46" xfId="0" applyBorder="1" applyAlignment="1">
      <alignment/>
    </xf>
    <xf numFmtId="0" fontId="0" fillId="0" borderId="100" xfId="0" applyBorder="1" applyAlignment="1">
      <alignment/>
    </xf>
    <xf numFmtId="0" fontId="0" fillId="0" borderId="18" xfId="0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165" fontId="13" fillId="0" borderId="46" xfId="0" applyNumberFormat="1" applyFont="1" applyBorder="1" applyAlignment="1">
      <alignment/>
    </xf>
    <xf numFmtId="165" fontId="13" fillId="0" borderId="18" xfId="0" applyNumberFormat="1" applyFont="1" applyBorder="1" applyAlignment="1">
      <alignment/>
    </xf>
    <xf numFmtId="165" fontId="13" fillId="0" borderId="1" xfId="0" applyNumberFormat="1" applyFont="1" applyBorder="1" applyAlignment="1">
      <alignment/>
    </xf>
    <xf numFmtId="165" fontId="13" fillId="0" borderId="1" xfId="0" applyNumberFormat="1" applyFont="1" applyFill="1" applyBorder="1" applyAlignment="1">
      <alignment/>
    </xf>
    <xf numFmtId="165" fontId="15" fillId="0" borderId="101" xfId="30" applyNumberFormat="1" applyFont="1" applyFill="1" applyBorder="1" applyAlignment="1">
      <alignment vertical="center"/>
      <protection/>
    </xf>
    <xf numFmtId="165" fontId="15" fillId="0" borderId="102" xfId="30" applyNumberFormat="1" applyFont="1" applyFill="1" applyBorder="1" applyAlignment="1">
      <alignment vertical="center"/>
      <protection/>
    </xf>
    <xf numFmtId="165" fontId="13" fillId="0" borderId="103" xfId="0" applyNumberFormat="1" applyFont="1" applyBorder="1" applyAlignment="1">
      <alignment horizontal="center"/>
    </xf>
    <xf numFmtId="165" fontId="13" fillId="2" borderId="100" xfId="30" applyNumberFormat="1" applyFont="1" applyFill="1" applyBorder="1" applyAlignment="1">
      <alignment vertical="center"/>
      <protection/>
    </xf>
    <xf numFmtId="165" fontId="13" fillId="0" borderId="78" xfId="0" applyNumberFormat="1" applyFont="1" applyBorder="1" applyAlignment="1">
      <alignment/>
    </xf>
    <xf numFmtId="165" fontId="15" fillId="0" borderId="104" xfId="30" applyNumberFormat="1" applyFont="1" applyFill="1" applyBorder="1" applyAlignment="1">
      <alignment vertical="center"/>
      <protection/>
    </xf>
    <xf numFmtId="165" fontId="13" fillId="0" borderId="6" xfId="0" applyNumberFormat="1" applyFont="1" applyBorder="1" applyAlignment="1">
      <alignment/>
    </xf>
    <xf numFmtId="165" fontId="13" fillId="0" borderId="104" xfId="30" applyNumberFormat="1" applyFont="1" applyFill="1" applyBorder="1" applyAlignment="1">
      <alignment vertical="center"/>
      <protection/>
    </xf>
    <xf numFmtId="165" fontId="13" fillId="0" borderId="104" xfId="0" applyNumberFormat="1" applyFont="1" applyFill="1" applyBorder="1" applyAlignment="1">
      <alignment/>
    </xf>
    <xf numFmtId="165" fontId="13" fillId="0" borderId="104" xfId="30" applyNumberFormat="1" applyFont="1" applyFill="1" applyBorder="1" applyAlignment="1">
      <alignment horizontal="justify" vertical="center"/>
      <protection/>
    </xf>
    <xf numFmtId="165" fontId="13" fillId="0" borderId="105" xfId="30" applyNumberFormat="1" applyFont="1" applyFill="1" applyBorder="1" applyAlignment="1">
      <alignment vertical="center"/>
      <protection/>
    </xf>
    <xf numFmtId="165" fontId="13" fillId="0" borderId="41" xfId="0" applyNumberFormat="1" applyFont="1" applyFill="1" applyBorder="1" applyAlignment="1">
      <alignment/>
    </xf>
    <xf numFmtId="165" fontId="13" fillId="0" borderId="8" xfId="0" applyNumberFormat="1" applyFont="1" applyBorder="1" applyAlignment="1">
      <alignment/>
    </xf>
    <xf numFmtId="165" fontId="13" fillId="0" borderId="9" xfId="0" applyNumberFormat="1" applyFont="1" applyBorder="1" applyAlignment="1">
      <alignment/>
    </xf>
    <xf numFmtId="3" fontId="13" fillId="0" borderId="5" xfId="23" applyNumberFormat="1" applyFont="1" applyBorder="1" applyAlignment="1">
      <alignment vertical="center"/>
      <protection/>
    </xf>
    <xf numFmtId="165" fontId="13" fillId="0" borderId="101" xfId="30" applyNumberFormat="1" applyFont="1" applyFill="1" applyBorder="1" applyAlignment="1">
      <alignment horizontal="center" vertical="center"/>
      <protection/>
    </xf>
    <xf numFmtId="3" fontId="13" fillId="0" borderId="102" xfId="23" applyNumberFormat="1" applyFont="1" applyBorder="1" applyAlignment="1">
      <alignment horizontal="center" vertical="center" wrapText="1"/>
      <protection/>
    </xf>
    <xf numFmtId="3" fontId="13" fillId="0" borderId="103" xfId="23" applyNumberFormat="1" applyFont="1" applyBorder="1" applyAlignment="1">
      <alignment vertical="center" wrapText="1"/>
      <protection/>
    </xf>
    <xf numFmtId="0" fontId="0" fillId="0" borderId="78" xfId="0" applyBorder="1" applyAlignment="1">
      <alignment/>
    </xf>
    <xf numFmtId="3" fontId="13" fillId="2" borderId="104" xfId="30" applyNumberFormat="1" applyFont="1" applyFill="1" applyBorder="1" applyAlignment="1">
      <alignment vertical="center"/>
      <protection/>
    </xf>
    <xf numFmtId="3" fontId="13" fillId="0" borderId="6" xfId="23" applyNumberFormat="1" applyFont="1" applyBorder="1" applyAlignment="1">
      <alignment vertical="center" wrapText="1"/>
      <protection/>
    </xf>
    <xf numFmtId="3" fontId="15" fillId="0" borderId="104" xfId="30" applyNumberFormat="1" applyFont="1" applyFill="1" applyBorder="1" applyAlignment="1">
      <alignment vertical="center"/>
      <protection/>
    </xf>
    <xf numFmtId="3" fontId="13" fillId="0" borderId="41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5" fillId="0" borderId="2" xfId="26" applyNumberFormat="1" applyFont="1" applyFill="1" applyBorder="1" applyAlignment="1">
      <alignment vertical="center"/>
      <protection/>
    </xf>
    <xf numFmtId="0" fontId="13" fillId="0" borderId="106" xfId="26" applyFill="1" applyBorder="1" applyAlignment="1">
      <alignment vertical="center"/>
      <protection/>
    </xf>
    <xf numFmtId="4" fontId="13" fillId="0" borderId="107" xfId="26" applyNumberFormat="1" applyFill="1" applyBorder="1" applyAlignment="1">
      <alignment vertical="center"/>
      <protection/>
    </xf>
    <xf numFmtId="4" fontId="10" fillId="0" borderId="37" xfId="26" applyNumberFormat="1" applyFont="1" applyFill="1" applyBorder="1" applyAlignment="1">
      <alignment vertical="center"/>
      <protection/>
    </xf>
    <xf numFmtId="0" fontId="13" fillId="0" borderId="40" xfId="26" applyFill="1" applyBorder="1" applyAlignment="1">
      <alignment vertical="center"/>
      <protection/>
    </xf>
    <xf numFmtId="0" fontId="13" fillId="0" borderId="108" xfId="26" applyFill="1" applyBorder="1" applyAlignment="1">
      <alignment vertical="center"/>
      <protection/>
    </xf>
    <xf numFmtId="0" fontId="13" fillId="0" borderId="107" xfId="26" applyFill="1" applyBorder="1" applyAlignment="1">
      <alignment vertical="center"/>
      <protection/>
    </xf>
    <xf numFmtId="0" fontId="13" fillId="0" borderId="109" xfId="26" applyFill="1" applyBorder="1" applyAlignment="1">
      <alignment vertical="center"/>
      <protection/>
    </xf>
    <xf numFmtId="3" fontId="27" fillId="0" borderId="45" xfId="26" applyNumberFormat="1" applyFont="1" applyFill="1" applyBorder="1" applyAlignment="1">
      <alignment vertical="center"/>
      <protection/>
    </xf>
    <xf numFmtId="3" fontId="27" fillId="0" borderId="110" xfId="26" applyNumberFormat="1" applyFont="1" applyFill="1" applyBorder="1" applyAlignment="1">
      <alignment vertical="center"/>
      <protection/>
    </xf>
    <xf numFmtId="3" fontId="27" fillId="0" borderId="111" xfId="26" applyNumberFormat="1" applyFont="1" applyFill="1" applyBorder="1" applyAlignment="1">
      <alignment vertical="center"/>
      <protection/>
    </xf>
    <xf numFmtId="10" fontId="10" fillId="0" borderId="111" xfId="26" applyNumberFormat="1" applyFont="1" applyFill="1" applyBorder="1" applyAlignment="1">
      <alignment vertical="center"/>
      <protection/>
    </xf>
    <xf numFmtId="4" fontId="10" fillId="0" borderId="112" xfId="26" applyNumberFormat="1" applyFont="1" applyFill="1" applyBorder="1" applyAlignment="1">
      <alignment vertical="center"/>
      <protection/>
    </xf>
    <xf numFmtId="165" fontId="10" fillId="0" borderId="113" xfId="26" applyNumberFormat="1" applyFont="1" applyFill="1" applyBorder="1" applyAlignment="1">
      <alignment vertical="center"/>
      <protection/>
    </xf>
    <xf numFmtId="4" fontId="10" fillId="0" borderId="114" xfId="26" applyNumberFormat="1" applyFont="1" applyFill="1" applyBorder="1" applyAlignment="1">
      <alignment vertical="center"/>
      <protection/>
    </xf>
    <xf numFmtId="0" fontId="10" fillId="0" borderId="90" xfId="26" applyFont="1" applyFill="1" applyBorder="1" applyAlignment="1">
      <alignment horizontal="center" vertical="center"/>
      <protection/>
    </xf>
    <xf numFmtId="3" fontId="15" fillId="0" borderId="21" xfId="26" applyNumberFormat="1" applyFont="1" applyFill="1" applyBorder="1" applyAlignment="1">
      <alignment vertical="center"/>
      <protection/>
    </xf>
    <xf numFmtId="0" fontId="13" fillId="0" borderId="0" xfId="26" applyFont="1" applyFill="1" applyAlignment="1">
      <alignment horizontal="right" vertical="center"/>
      <protection/>
    </xf>
    <xf numFmtId="0" fontId="0" fillId="0" borderId="0" xfId="0" applyAlignment="1">
      <alignment/>
    </xf>
    <xf numFmtId="3" fontId="9" fillId="0" borderId="0" xfId="21" applyNumberFormat="1" applyFont="1" applyBorder="1">
      <alignment/>
      <protection/>
    </xf>
    <xf numFmtId="167" fontId="17" fillId="0" borderId="0" xfId="31" applyNumberFormat="1" applyFont="1" applyAlignment="1">
      <alignment horizontal="right" vertical="center" wrapText="1"/>
      <protection/>
    </xf>
    <xf numFmtId="167" fontId="18" fillId="0" borderId="115" xfId="31" applyNumberFormat="1" applyFont="1" applyBorder="1" applyAlignment="1">
      <alignment horizontal="center" vertical="center" wrapText="1"/>
      <protection/>
    </xf>
    <xf numFmtId="167" fontId="17" fillId="0" borderId="0" xfId="31" applyNumberFormat="1" applyBorder="1" applyAlignment="1">
      <alignment vertical="center" wrapText="1"/>
      <protection/>
    </xf>
    <xf numFmtId="167" fontId="17" fillId="0" borderId="67" xfId="31" applyNumberFormat="1" applyBorder="1" applyAlignment="1">
      <alignment horizontal="center" vertical="center" wrapText="1"/>
      <protection/>
    </xf>
    <xf numFmtId="166" fontId="14" fillId="0" borderId="46" xfId="31" applyNumberFormat="1" applyFont="1" applyBorder="1" applyAlignment="1">
      <alignment horizontal="center" vertical="center"/>
      <protection/>
    </xf>
    <xf numFmtId="167" fontId="17" fillId="0" borderId="46" xfId="31" applyNumberFormat="1" applyBorder="1" applyAlignment="1">
      <alignment vertical="center" wrapText="1"/>
      <protection/>
    </xf>
    <xf numFmtId="167" fontId="17" fillId="0" borderId="78" xfId="31" applyNumberFormat="1" applyBorder="1" applyAlignment="1">
      <alignment vertical="center" wrapText="1"/>
      <protection/>
    </xf>
    <xf numFmtId="167" fontId="18" fillId="0" borderId="0" xfId="31" applyNumberFormat="1" applyFont="1" applyBorder="1" applyAlignment="1">
      <alignment vertical="center" wrapText="1"/>
      <protection/>
    </xf>
    <xf numFmtId="167" fontId="18" fillId="0" borderId="102" xfId="31" applyNumberFormat="1" applyFont="1" applyBorder="1" applyAlignment="1">
      <alignment horizontal="center" vertical="center" wrapText="1"/>
      <protection/>
    </xf>
    <xf numFmtId="167" fontId="18" fillId="0" borderId="103" xfId="31" applyNumberFormat="1" applyFont="1" applyBorder="1" applyAlignment="1">
      <alignment horizontal="center" vertical="center" wrapText="1"/>
      <protection/>
    </xf>
    <xf numFmtId="14" fontId="9" fillId="0" borderId="0" xfId="21" applyNumberFormat="1" applyBorder="1">
      <alignment/>
      <protection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3" fontId="46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9" fontId="46" fillId="0" borderId="0" xfId="0" applyNumberFormat="1" applyFont="1" applyBorder="1" applyAlignment="1">
      <alignment horizontal="center"/>
    </xf>
    <xf numFmtId="173" fontId="46" fillId="0" borderId="0" xfId="0" applyNumberFormat="1" applyFont="1" applyBorder="1" applyAlignment="1">
      <alignment/>
    </xf>
    <xf numFmtId="173" fontId="46" fillId="0" borderId="0" xfId="0" applyNumberFormat="1" applyFont="1" applyBorder="1" applyAlignment="1">
      <alignment/>
    </xf>
    <xf numFmtId="173" fontId="46" fillId="0" borderId="0" xfId="0" applyNumberFormat="1" applyFont="1" applyAlignment="1">
      <alignment/>
    </xf>
    <xf numFmtId="173" fontId="46" fillId="0" borderId="0" xfId="0" applyNumberFormat="1" applyFont="1" applyAlignment="1">
      <alignment/>
    </xf>
    <xf numFmtId="3" fontId="46" fillId="0" borderId="0" xfId="0" applyNumberFormat="1" applyFont="1" applyBorder="1" applyAlignment="1">
      <alignment horizontal="right" wrapText="1"/>
    </xf>
    <xf numFmtId="173" fontId="46" fillId="0" borderId="0" xfId="0" applyNumberFormat="1" applyFont="1" applyBorder="1" applyAlignment="1">
      <alignment horizontal="center"/>
    </xf>
    <xf numFmtId="173" fontId="46" fillId="0" borderId="0" xfId="0" applyNumberFormat="1" applyFont="1" applyAlignment="1">
      <alignment horizontal="center"/>
    </xf>
    <xf numFmtId="3" fontId="46" fillId="0" borderId="0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116" xfId="0" applyFont="1" applyBorder="1" applyAlignment="1">
      <alignment horizontal="center"/>
    </xf>
    <xf numFmtId="3" fontId="46" fillId="0" borderId="5" xfId="0" applyNumberFormat="1" applyFont="1" applyBorder="1" applyAlignment="1">
      <alignment horizontal="right"/>
    </xf>
    <xf numFmtId="9" fontId="46" fillId="0" borderId="5" xfId="0" applyNumberFormat="1" applyFont="1" applyBorder="1" applyAlignment="1">
      <alignment horizontal="right"/>
    </xf>
    <xf numFmtId="3" fontId="46" fillId="0" borderId="1" xfId="0" applyNumberFormat="1" applyFont="1" applyBorder="1" applyAlignment="1">
      <alignment horizontal="right"/>
    </xf>
    <xf numFmtId="0" fontId="47" fillId="0" borderId="104" xfId="0" applyFont="1" applyBorder="1" applyAlignment="1">
      <alignment horizontal="left"/>
    </xf>
    <xf numFmtId="0" fontId="1" fillId="0" borderId="117" xfId="0" applyFont="1" applyBorder="1" applyAlignment="1">
      <alignment horizontal="left"/>
    </xf>
    <xf numFmtId="3" fontId="9" fillId="0" borderId="18" xfId="0" applyNumberFormat="1" applyFont="1" applyBorder="1" applyAlignment="1">
      <alignment horizontal="right"/>
    </xf>
    <xf numFmtId="3" fontId="9" fillId="0" borderId="46" xfId="0" applyNumberFormat="1" applyFont="1" applyBorder="1" applyAlignment="1">
      <alignment horizontal="right"/>
    </xf>
    <xf numFmtId="9" fontId="9" fillId="0" borderId="46" xfId="0" applyNumberFormat="1" applyFont="1" applyBorder="1" applyAlignment="1">
      <alignment horizontal="right"/>
    </xf>
    <xf numFmtId="3" fontId="9" fillId="0" borderId="78" xfId="0" applyNumberFormat="1" applyFont="1" applyBorder="1" applyAlignment="1">
      <alignment horizontal="right"/>
    </xf>
    <xf numFmtId="0" fontId="1" fillId="0" borderId="104" xfId="0" applyFont="1" applyBorder="1" applyAlignment="1">
      <alignment horizontal="left"/>
    </xf>
    <xf numFmtId="3" fontId="9" fillId="0" borderId="1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9" fontId="9" fillId="0" borderId="5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 wrapText="1"/>
    </xf>
    <xf numFmtId="0" fontId="1" fillId="0" borderId="118" xfId="0" applyFont="1" applyBorder="1" applyAlignment="1">
      <alignment horizontal="left"/>
    </xf>
    <xf numFmtId="3" fontId="9" fillId="0" borderId="23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 horizontal="right"/>
    </xf>
    <xf numFmtId="10" fontId="9" fillId="0" borderId="22" xfId="0" applyNumberFormat="1" applyFont="1" applyBorder="1" applyAlignment="1">
      <alignment horizontal="right"/>
    </xf>
    <xf numFmtId="3" fontId="9" fillId="0" borderId="25" xfId="0" applyNumberFormat="1" applyFont="1" applyBorder="1" applyAlignment="1">
      <alignment horizontal="right"/>
    </xf>
    <xf numFmtId="0" fontId="1" fillId="0" borderId="119" xfId="0" applyFont="1" applyBorder="1" applyAlignment="1">
      <alignment horizontal="left"/>
    </xf>
    <xf numFmtId="3" fontId="1" fillId="0" borderId="120" xfId="0" applyNumberFormat="1" applyFont="1" applyBorder="1" applyAlignment="1">
      <alignment horizontal="right"/>
    </xf>
    <xf numFmtId="3" fontId="1" fillId="0" borderId="112" xfId="0" applyNumberFormat="1" applyFont="1" applyBorder="1" applyAlignment="1">
      <alignment horizontal="right"/>
    </xf>
    <xf numFmtId="3" fontId="1" fillId="0" borderId="121" xfId="0" applyNumberFormat="1" applyFont="1" applyBorder="1" applyAlignment="1">
      <alignment horizontal="right"/>
    </xf>
    <xf numFmtId="0" fontId="9" fillId="0" borderId="101" xfId="0" applyFont="1" applyBorder="1" applyAlignment="1">
      <alignment horizontal="center" vertical="center"/>
    </xf>
    <xf numFmtId="0" fontId="9" fillId="0" borderId="122" xfId="0" applyFont="1" applyBorder="1" applyAlignment="1">
      <alignment horizontal="center" vertical="center" wrapText="1"/>
    </xf>
    <xf numFmtId="0" fontId="9" fillId="0" borderId="102" xfId="0" applyFont="1" applyBorder="1" applyAlignment="1">
      <alignment horizontal="center" vertical="center" wrapText="1"/>
    </xf>
    <xf numFmtId="0" fontId="9" fillId="0" borderId="103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6" fillId="0" borderId="42" xfId="0" applyFont="1" applyBorder="1" applyAlignment="1">
      <alignment horizontal="right"/>
    </xf>
    <xf numFmtId="3" fontId="46" fillId="0" borderId="0" xfId="0" applyNumberFormat="1" applyFont="1" applyBorder="1" applyAlignment="1">
      <alignment horizontal="center"/>
    </xf>
    <xf numFmtId="0" fontId="46" fillId="0" borderId="116" xfId="0" applyFont="1" applyBorder="1" applyAlignment="1">
      <alignment horizontal="right"/>
    </xf>
    <xf numFmtId="0" fontId="46" fillId="0" borderId="5" xfId="0" applyFont="1" applyBorder="1" applyAlignment="1">
      <alignment horizontal="center"/>
    </xf>
    <xf numFmtId="0" fontId="46" fillId="0" borderId="5" xfId="0" applyFont="1" applyBorder="1" applyAlignment="1">
      <alignment horizontal="right"/>
    </xf>
    <xf numFmtId="3" fontId="46" fillId="0" borderId="5" xfId="0" applyNumberFormat="1" applyFont="1" applyBorder="1" applyAlignment="1">
      <alignment horizontal="center"/>
    </xf>
    <xf numFmtId="2" fontId="46" fillId="0" borderId="5" xfId="0" applyNumberFormat="1" applyFont="1" applyBorder="1" applyAlignment="1">
      <alignment horizontal="center"/>
    </xf>
    <xf numFmtId="0" fontId="46" fillId="0" borderId="56" xfId="0" applyFont="1" applyBorder="1" applyAlignment="1">
      <alignment horizontal="center"/>
    </xf>
    <xf numFmtId="0" fontId="46" fillId="0" borderId="56" xfId="0" applyFont="1" applyBorder="1" applyAlignment="1">
      <alignment horizontal="right"/>
    </xf>
    <xf numFmtId="3" fontId="46" fillId="0" borderId="56" xfId="0" applyNumberFormat="1" applyFont="1" applyBorder="1" applyAlignment="1">
      <alignment horizontal="center"/>
    </xf>
    <xf numFmtId="2" fontId="46" fillId="0" borderId="56" xfId="0" applyNumberFormat="1" applyFont="1" applyBorder="1" applyAlignment="1">
      <alignment horizontal="center"/>
    </xf>
    <xf numFmtId="0" fontId="46" fillId="0" borderId="44" xfId="0" applyFont="1" applyBorder="1" applyAlignment="1">
      <alignment horizontal="right"/>
    </xf>
    <xf numFmtId="3" fontId="46" fillId="0" borderId="44" xfId="0" applyNumberFormat="1" applyFont="1" applyBorder="1" applyAlignment="1">
      <alignment horizontal="center"/>
    </xf>
    <xf numFmtId="2" fontId="46" fillId="0" borderId="44" xfId="0" applyNumberFormat="1" applyFont="1" applyBorder="1" applyAlignment="1">
      <alignment horizontal="center"/>
    </xf>
    <xf numFmtId="0" fontId="46" fillId="0" borderId="74" xfId="0" applyFont="1" applyBorder="1" applyAlignment="1">
      <alignment/>
    </xf>
    <xf numFmtId="0" fontId="46" fillId="0" borderId="71" xfId="0" applyFont="1" applyBorder="1" applyAlignment="1">
      <alignment/>
    </xf>
    <xf numFmtId="0" fontId="46" fillId="0" borderId="93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6" fillId="0" borderId="94" xfId="0" applyFont="1" applyBorder="1" applyAlignment="1">
      <alignment horizontal="center"/>
    </xf>
    <xf numFmtId="0" fontId="46" fillId="0" borderId="101" xfId="0" applyFont="1" applyBorder="1" applyAlignment="1">
      <alignment horizontal="center" vertical="center"/>
    </xf>
    <xf numFmtId="0" fontId="46" fillId="0" borderId="122" xfId="0" applyFont="1" applyBorder="1" applyAlignment="1">
      <alignment horizontal="center" vertical="center" wrapText="1"/>
    </xf>
    <xf numFmtId="0" fontId="46" fillId="0" borderId="102" xfId="0" applyFont="1" applyBorder="1" applyAlignment="1">
      <alignment horizontal="center" vertical="center"/>
    </xf>
    <xf numFmtId="0" fontId="46" fillId="0" borderId="102" xfId="0" applyFont="1" applyBorder="1" applyAlignment="1">
      <alignment horizontal="center" vertical="center" wrapText="1"/>
    </xf>
    <xf numFmtId="0" fontId="46" fillId="0" borderId="103" xfId="0" applyFont="1" applyBorder="1" applyAlignment="1">
      <alignment horizontal="center" vertical="center" wrapText="1"/>
    </xf>
    <xf numFmtId="0" fontId="47" fillId="0" borderId="123" xfId="0" applyFont="1" applyBorder="1" applyAlignment="1">
      <alignment/>
    </xf>
    <xf numFmtId="0" fontId="46" fillId="0" borderId="124" xfId="0" applyFont="1" applyBorder="1" applyAlignment="1">
      <alignment horizontal="center"/>
    </xf>
    <xf numFmtId="0" fontId="47" fillId="0" borderId="125" xfId="0" applyFont="1" applyBorder="1" applyAlignment="1">
      <alignment/>
    </xf>
    <xf numFmtId="0" fontId="46" fillId="0" borderId="126" xfId="0" applyFont="1" applyBorder="1" applyAlignment="1">
      <alignment horizontal="center"/>
    </xf>
    <xf numFmtId="0" fontId="47" fillId="0" borderId="100" xfId="0" applyFont="1" applyBorder="1" applyAlignment="1">
      <alignment/>
    </xf>
    <xf numFmtId="3" fontId="46" fillId="0" borderId="87" xfId="0" applyNumberFormat="1" applyFont="1" applyBorder="1" applyAlignment="1">
      <alignment horizontal="center"/>
    </xf>
    <xf numFmtId="0" fontId="47" fillId="0" borderId="104" xfId="0" applyFont="1" applyBorder="1" applyAlignment="1">
      <alignment/>
    </xf>
    <xf numFmtId="0" fontId="46" fillId="0" borderId="6" xfId="0" applyFont="1" applyBorder="1" applyAlignment="1">
      <alignment horizontal="center"/>
    </xf>
    <xf numFmtId="3" fontId="46" fillId="0" borderId="6" xfId="0" applyNumberFormat="1" applyFont="1" applyBorder="1" applyAlignment="1">
      <alignment horizontal="center"/>
    </xf>
    <xf numFmtId="0" fontId="47" fillId="0" borderId="127" xfId="0" applyFont="1" applyBorder="1" applyAlignment="1">
      <alignment/>
    </xf>
    <xf numFmtId="3" fontId="46" fillId="0" borderId="89" xfId="0" applyNumberFormat="1" applyFont="1" applyBorder="1" applyAlignment="1">
      <alignment horizontal="center"/>
    </xf>
    <xf numFmtId="0" fontId="49" fillId="0" borderId="119" xfId="0" applyFont="1" applyBorder="1" applyAlignment="1">
      <alignment/>
    </xf>
    <xf numFmtId="0" fontId="46" fillId="0" borderId="128" xfId="0" applyFont="1" applyBorder="1" applyAlignment="1">
      <alignment/>
    </xf>
    <xf numFmtId="0" fontId="47" fillId="0" borderId="45" xfId="0" applyFont="1" applyBorder="1" applyAlignment="1">
      <alignment horizontal="right"/>
    </xf>
    <xf numFmtId="3" fontId="47" fillId="0" borderId="45" xfId="0" applyNumberFormat="1" applyFont="1" applyBorder="1" applyAlignment="1">
      <alignment/>
    </xf>
    <xf numFmtId="2" fontId="47" fillId="0" borderId="45" xfId="0" applyNumberFormat="1" applyFont="1" applyBorder="1" applyAlignment="1">
      <alignment/>
    </xf>
    <xf numFmtId="3" fontId="47" fillId="0" borderId="45" xfId="0" applyNumberFormat="1" applyFont="1" applyBorder="1" applyAlignment="1">
      <alignment horizontal="center"/>
    </xf>
    <xf numFmtId="3" fontId="47" fillId="0" borderId="80" xfId="0" applyNumberFormat="1" applyFont="1" applyBorder="1" applyAlignment="1">
      <alignment horizontal="center"/>
    </xf>
    <xf numFmtId="0" fontId="1" fillId="0" borderId="0" xfId="19" applyFont="1">
      <alignment/>
      <protection/>
    </xf>
    <xf numFmtId="0" fontId="50" fillId="0" borderId="0" xfId="0" applyFont="1" applyAlignment="1">
      <alignment/>
    </xf>
    <xf numFmtId="0" fontId="15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1" fontId="50" fillId="0" borderId="0" xfId="0" applyNumberFormat="1" applyFont="1" applyAlignment="1">
      <alignment/>
    </xf>
    <xf numFmtId="0" fontId="50" fillId="0" borderId="0" xfId="0" applyFont="1" applyAlignment="1">
      <alignment vertical="center"/>
    </xf>
    <xf numFmtId="0" fontId="50" fillId="0" borderId="42" xfId="0" applyFont="1" applyBorder="1" applyAlignment="1">
      <alignment horizontal="center" vertical="center"/>
    </xf>
    <xf numFmtId="0" fontId="50" fillId="0" borderId="124" xfId="0" applyFont="1" applyBorder="1" applyAlignment="1">
      <alignment horizontal="center" vertical="center"/>
    </xf>
    <xf numFmtId="0" fontId="50" fillId="0" borderId="129" xfId="0" applyFont="1" applyBorder="1" applyAlignment="1">
      <alignment/>
    </xf>
    <xf numFmtId="174" fontId="9" fillId="0" borderId="56" xfId="15" applyNumberFormat="1" applyBorder="1" applyAlignment="1">
      <alignment/>
    </xf>
    <xf numFmtId="175" fontId="9" fillId="0" borderId="56" xfId="15" applyNumberFormat="1" applyBorder="1" applyAlignment="1">
      <alignment/>
    </xf>
    <xf numFmtId="175" fontId="9" fillId="0" borderId="87" xfId="15" applyNumberFormat="1" applyBorder="1" applyAlignment="1">
      <alignment/>
    </xf>
    <xf numFmtId="0" fontId="50" fillId="0" borderId="4" xfId="0" applyFont="1" applyBorder="1" applyAlignment="1">
      <alignment/>
    </xf>
    <xf numFmtId="174" fontId="9" fillId="0" borderId="5" xfId="15" applyNumberFormat="1" applyBorder="1" applyAlignment="1">
      <alignment/>
    </xf>
    <xf numFmtId="175" fontId="9" fillId="0" borderId="5" xfId="15" applyNumberFormat="1" applyBorder="1" applyAlignment="1">
      <alignment/>
    </xf>
    <xf numFmtId="175" fontId="9" fillId="0" borderId="6" xfId="15" applyNumberFormat="1" applyBorder="1" applyAlignment="1">
      <alignment/>
    </xf>
    <xf numFmtId="0" fontId="51" fillId="0" borderId="4" xfId="0" applyFont="1" applyBorder="1" applyAlignment="1">
      <alignment/>
    </xf>
    <xf numFmtId="174" fontId="9" fillId="0" borderId="5" xfId="15" applyNumberFormat="1" applyFont="1" applyBorder="1" applyAlignment="1">
      <alignment/>
    </xf>
    <xf numFmtId="0" fontId="52" fillId="0" borderId="4" xfId="0" applyFont="1" applyBorder="1" applyAlignment="1">
      <alignment/>
    </xf>
    <xf numFmtId="0" fontId="52" fillId="0" borderId="130" xfId="0" applyFont="1" applyBorder="1" applyAlignment="1">
      <alignment/>
    </xf>
    <xf numFmtId="174" fontId="9" fillId="0" borderId="44" xfId="15" applyNumberFormat="1" applyFont="1" applyBorder="1" applyAlignment="1">
      <alignment/>
    </xf>
    <xf numFmtId="175" fontId="9" fillId="0" borderId="44" xfId="15" applyNumberFormat="1" applyBorder="1" applyAlignment="1">
      <alignment/>
    </xf>
    <xf numFmtId="175" fontId="9" fillId="0" borderId="89" xfId="15" applyNumberFormat="1" applyBorder="1" applyAlignment="1">
      <alignment/>
    </xf>
    <xf numFmtId="0" fontId="53" fillId="0" borderId="21" xfId="0" applyFont="1" applyBorder="1" applyAlignment="1">
      <alignment/>
    </xf>
    <xf numFmtId="174" fontId="1" fillId="0" borderId="62" xfId="15" applyNumberFormat="1" applyFont="1" applyBorder="1" applyAlignment="1">
      <alignment/>
    </xf>
    <xf numFmtId="175" fontId="1" fillId="0" borderId="62" xfId="15" applyNumberFormat="1" applyFont="1" applyBorder="1" applyAlignment="1">
      <alignment/>
    </xf>
    <xf numFmtId="175" fontId="1" fillId="0" borderId="62" xfId="15" applyNumberFormat="1" applyFont="1" applyBorder="1" applyAlignment="1">
      <alignment/>
    </xf>
    <xf numFmtId="175" fontId="1" fillId="0" borderId="131" xfId="15" applyNumberFormat="1" applyFont="1" applyBorder="1" applyAlignment="1">
      <alignment/>
    </xf>
    <xf numFmtId="0" fontId="53" fillId="0" borderId="0" xfId="0" applyFont="1" applyAlignment="1">
      <alignment/>
    </xf>
    <xf numFmtId="174" fontId="9" fillId="0" borderId="56" xfId="15" applyNumberFormat="1" applyFont="1" applyBorder="1" applyAlignment="1">
      <alignment/>
    </xf>
    <xf numFmtId="0" fontId="53" fillId="0" borderId="132" xfId="0" applyFont="1" applyBorder="1" applyAlignment="1">
      <alignment/>
    </xf>
    <xf numFmtId="174" fontId="1" fillId="0" borderId="133" xfId="15" applyNumberFormat="1" applyFont="1" applyBorder="1" applyAlignment="1">
      <alignment/>
    </xf>
    <xf numFmtId="175" fontId="1" fillId="0" borderId="133" xfId="15" applyNumberFormat="1" applyFont="1" applyBorder="1" applyAlignment="1">
      <alignment/>
    </xf>
    <xf numFmtId="175" fontId="1" fillId="0" borderId="133" xfId="15" applyNumberFormat="1" applyFont="1" applyBorder="1" applyAlignment="1">
      <alignment/>
    </xf>
    <xf numFmtId="175" fontId="1" fillId="0" borderId="134" xfId="15" applyNumberFormat="1" applyFont="1" applyBorder="1" applyAlignment="1">
      <alignment/>
    </xf>
    <xf numFmtId="0" fontId="53" fillId="0" borderId="0" xfId="0" applyFont="1" applyBorder="1" applyAlignment="1">
      <alignment/>
    </xf>
    <xf numFmtId="174" fontId="53" fillId="0" borderId="0" xfId="15" applyNumberFormat="1" applyFont="1" applyBorder="1" applyAlignment="1">
      <alignment/>
    </xf>
    <xf numFmtId="43" fontId="53" fillId="0" borderId="0" xfId="15" applyFont="1" applyBorder="1" applyAlignment="1">
      <alignment/>
    </xf>
    <xf numFmtId="0" fontId="55" fillId="0" borderId="0" xfId="0" applyFont="1" applyAlignment="1">
      <alignment horizontal="center" vertical="center"/>
    </xf>
    <xf numFmtId="167" fontId="18" fillId="0" borderId="102" xfId="22" applyNumberFormat="1" applyFont="1" applyBorder="1" applyAlignment="1">
      <alignment horizontal="center" vertical="center"/>
      <protection/>
    </xf>
    <xf numFmtId="167" fontId="18" fillId="0" borderId="112" xfId="22" applyNumberFormat="1" applyFont="1" applyBorder="1" applyAlignment="1">
      <alignment horizontal="center" vertical="center"/>
      <protection/>
    </xf>
    <xf numFmtId="1" fontId="18" fillId="0" borderId="112" xfId="22" applyNumberFormat="1" applyFont="1" applyBorder="1" applyAlignment="1">
      <alignment horizontal="center" vertical="center" wrapText="1"/>
      <protection/>
    </xf>
    <xf numFmtId="167" fontId="18" fillId="0" borderId="112" xfId="22" applyNumberFormat="1" applyFont="1" applyBorder="1" applyAlignment="1">
      <alignment horizontal="center" vertical="center" wrapText="1"/>
      <protection/>
    </xf>
    <xf numFmtId="1" fontId="18" fillId="0" borderId="121" xfId="22" applyNumberFormat="1" applyFont="1" applyBorder="1" applyAlignment="1">
      <alignment horizontal="center" vertical="center" wrapText="1"/>
      <protection/>
    </xf>
    <xf numFmtId="4" fontId="17" fillId="0" borderId="77" xfId="22" applyNumberFormat="1" applyFont="1" applyBorder="1" applyAlignment="1">
      <alignment vertical="center"/>
      <protection/>
    </xf>
    <xf numFmtId="177" fontId="17" fillId="0" borderId="5" xfId="22" applyNumberFormat="1" applyFont="1" applyBorder="1" applyAlignment="1">
      <alignment vertical="center"/>
      <protection/>
    </xf>
    <xf numFmtId="177" fontId="17" fillId="0" borderId="22" xfId="22" applyNumberFormat="1" applyFont="1" applyBorder="1" applyAlignment="1">
      <alignment vertical="center"/>
      <protection/>
    </xf>
    <xf numFmtId="167" fontId="18" fillId="0" borderId="79" xfId="22" applyNumberFormat="1" applyFont="1" applyBorder="1" applyAlignment="1">
      <alignment vertical="center"/>
      <protection/>
    </xf>
    <xf numFmtId="167" fontId="18" fillId="0" borderId="45" xfId="22" applyNumberFormat="1" applyFont="1" applyBorder="1" applyAlignment="1">
      <alignment vertical="center"/>
      <protection/>
    </xf>
    <xf numFmtId="177" fontId="18" fillId="0" borderId="45" xfId="22" applyNumberFormat="1" applyFont="1" applyBorder="1" applyAlignment="1">
      <alignment vertical="center"/>
      <protection/>
    </xf>
    <xf numFmtId="177" fontId="17" fillId="0" borderId="46" xfId="22" applyNumberFormat="1" applyFont="1" applyBorder="1" applyAlignment="1">
      <alignment vertical="center"/>
      <protection/>
    </xf>
    <xf numFmtId="4" fontId="17" fillId="0" borderId="0" xfId="22" applyNumberFormat="1" applyFont="1" applyBorder="1" applyAlignment="1">
      <alignment vertical="center"/>
      <protection/>
    </xf>
    <xf numFmtId="167" fontId="17" fillId="0" borderId="0" xfId="22" applyNumberFormat="1" applyFont="1" applyBorder="1" applyAlignment="1">
      <alignment vertical="center"/>
      <protection/>
    </xf>
    <xf numFmtId="167" fontId="18" fillId="0" borderId="0" xfId="22" applyNumberFormat="1" applyFont="1" applyBorder="1" applyAlignment="1">
      <alignment vertical="center"/>
      <protection/>
    </xf>
    <xf numFmtId="167" fontId="18" fillId="0" borderId="128" xfId="22" applyNumberFormat="1" applyFont="1" applyBorder="1" applyAlignment="1">
      <alignment vertical="center"/>
      <protection/>
    </xf>
    <xf numFmtId="4" fontId="18" fillId="0" borderId="0" xfId="22" applyNumberFormat="1" applyFont="1" applyBorder="1" applyAlignment="1">
      <alignment vertical="center"/>
      <protection/>
    </xf>
    <xf numFmtId="167" fontId="18" fillId="0" borderId="0" xfId="22" applyNumberFormat="1" applyFont="1" applyBorder="1" applyAlignment="1">
      <alignment vertical="center"/>
      <protection/>
    </xf>
    <xf numFmtId="167" fontId="30" fillId="0" borderId="0" xfId="22" applyNumberFormat="1" applyFont="1" applyBorder="1" applyAlignment="1">
      <alignment vertical="center"/>
      <protection/>
    </xf>
    <xf numFmtId="4" fontId="17" fillId="0" borderId="0" xfId="22" applyNumberFormat="1" applyFont="1" applyAlignment="1">
      <alignment horizontal="right" vertical="center"/>
      <protection/>
    </xf>
    <xf numFmtId="3" fontId="27" fillId="0" borderId="29" xfId="26" applyNumberFormat="1" applyFont="1" applyFill="1" applyBorder="1" applyAlignment="1">
      <alignment vertical="center"/>
      <protection/>
    </xf>
    <xf numFmtId="3" fontId="27" fillId="0" borderId="113" xfId="26" applyNumberFormat="1" applyFont="1" applyFill="1" applyBorder="1" applyAlignment="1">
      <alignment vertical="center"/>
      <protection/>
    </xf>
    <xf numFmtId="10" fontId="13" fillId="0" borderId="0" xfId="26" applyNumberFormat="1" applyFill="1" applyBorder="1" applyAlignment="1">
      <alignment vertical="center"/>
      <protection/>
    </xf>
    <xf numFmtId="10" fontId="13" fillId="0" borderId="82" xfId="26" applyNumberFormat="1" applyFill="1" applyBorder="1" applyAlignment="1">
      <alignment vertical="center"/>
      <protection/>
    </xf>
    <xf numFmtId="3" fontId="13" fillId="0" borderId="64" xfId="26" applyNumberFormat="1" applyFont="1" applyFill="1" applyBorder="1" applyAlignment="1">
      <alignment vertical="center"/>
      <protection/>
    </xf>
    <xf numFmtId="168" fontId="10" fillId="0" borderId="5" xfId="26" applyNumberFormat="1" applyFont="1" applyFill="1" applyBorder="1" applyAlignment="1">
      <alignment vertical="center"/>
      <protection/>
    </xf>
    <xf numFmtId="165" fontId="10" fillId="0" borderId="5" xfId="26" applyNumberFormat="1" applyFont="1" applyFill="1" applyBorder="1" applyAlignment="1">
      <alignment vertical="center"/>
      <protection/>
    </xf>
    <xf numFmtId="3" fontId="27" fillId="0" borderId="5" xfId="26" applyNumberFormat="1" applyFont="1" applyFill="1" applyBorder="1" applyAlignment="1">
      <alignment vertical="center"/>
      <protection/>
    </xf>
    <xf numFmtId="3" fontId="10" fillId="0" borderId="5" xfId="26" applyNumberFormat="1" applyFont="1" applyFill="1" applyBorder="1" applyAlignment="1">
      <alignment vertical="center"/>
      <protection/>
    </xf>
    <xf numFmtId="168" fontId="27" fillId="0" borderId="5" xfId="26" applyNumberFormat="1" applyFont="1" applyFill="1" applyBorder="1" applyAlignment="1">
      <alignment vertical="center"/>
      <protection/>
    </xf>
    <xf numFmtId="165" fontId="27" fillId="0" borderId="5" xfId="26" applyNumberFormat="1" applyFont="1" applyFill="1" applyBorder="1" applyAlignment="1">
      <alignment vertical="center"/>
      <protection/>
    </xf>
    <xf numFmtId="164" fontId="13" fillId="0" borderId="5" xfId="26" applyNumberFormat="1" applyFill="1" applyBorder="1" applyAlignment="1">
      <alignment vertical="center"/>
      <protection/>
    </xf>
    <xf numFmtId="4" fontId="10" fillId="0" borderId="37" xfId="26" applyNumberFormat="1" applyFont="1" applyFill="1" applyBorder="1" applyAlignment="1">
      <alignment vertical="center"/>
      <protection/>
    </xf>
    <xf numFmtId="3" fontId="27" fillId="0" borderId="4" xfId="26" applyNumberFormat="1" applyFont="1" applyFill="1" applyBorder="1" applyAlignment="1">
      <alignment vertical="center"/>
      <protection/>
    </xf>
    <xf numFmtId="3" fontId="27" fillId="0" borderId="0" xfId="26" applyNumberFormat="1" applyFont="1" applyFill="1" applyBorder="1" applyAlignment="1">
      <alignment horizontal="center" vertical="center"/>
      <protection/>
    </xf>
    <xf numFmtId="3" fontId="27" fillId="0" borderId="13" xfId="26" applyNumberFormat="1" applyFont="1" applyFill="1" applyBorder="1" applyAlignment="1">
      <alignment vertical="center"/>
      <protection/>
    </xf>
    <xf numFmtId="3" fontId="27" fillId="0" borderId="27" xfId="26" applyNumberFormat="1" applyFont="1" applyFill="1" applyBorder="1" applyAlignment="1">
      <alignment vertical="center"/>
      <protection/>
    </xf>
    <xf numFmtId="3" fontId="13" fillId="0" borderId="18" xfId="26" applyNumberFormat="1" applyFill="1" applyBorder="1" applyAlignment="1">
      <alignment vertical="center"/>
      <protection/>
    </xf>
    <xf numFmtId="3" fontId="13" fillId="0" borderId="1" xfId="26" applyNumberFormat="1" applyFill="1" applyBorder="1" applyAlignment="1">
      <alignment vertical="center"/>
      <protection/>
    </xf>
    <xf numFmtId="3" fontId="10" fillId="0" borderId="1" xfId="26" applyNumberFormat="1" applyFont="1" applyFill="1" applyBorder="1" applyAlignment="1">
      <alignment vertical="center"/>
      <protection/>
    </xf>
    <xf numFmtId="3" fontId="27" fillId="0" borderId="1" xfId="26" applyNumberFormat="1" applyFont="1" applyFill="1" applyBorder="1" applyAlignment="1">
      <alignment vertical="center"/>
      <protection/>
    </xf>
    <xf numFmtId="3" fontId="13" fillId="0" borderId="23" xfId="26" applyNumberFormat="1" applyFill="1" applyBorder="1" applyAlignment="1">
      <alignment vertical="center"/>
      <protection/>
    </xf>
    <xf numFmtId="3" fontId="13" fillId="0" borderId="135" xfId="26" applyNumberFormat="1" applyFill="1" applyBorder="1" applyAlignment="1">
      <alignment vertical="center"/>
      <protection/>
    </xf>
    <xf numFmtId="3" fontId="10" fillId="0" borderId="51" xfId="26" applyNumberFormat="1" applyFont="1" applyFill="1" applyBorder="1" applyAlignment="1">
      <alignment vertical="center"/>
      <protection/>
    </xf>
    <xf numFmtId="3" fontId="10" fillId="0" borderId="52" xfId="26" applyNumberFormat="1" applyFont="1" applyFill="1" applyBorder="1" applyAlignment="1">
      <alignment vertical="center"/>
      <protection/>
    </xf>
    <xf numFmtId="3" fontId="27" fillId="0" borderId="51" xfId="26" applyNumberFormat="1" applyFont="1" applyFill="1" applyBorder="1" applyAlignment="1">
      <alignment vertical="center"/>
      <protection/>
    </xf>
    <xf numFmtId="3" fontId="27" fillId="0" borderId="52" xfId="26" applyNumberFormat="1" applyFont="1" applyFill="1" applyBorder="1" applyAlignment="1">
      <alignment vertical="center"/>
      <protection/>
    </xf>
    <xf numFmtId="3" fontId="10" fillId="0" borderId="128" xfId="26" applyNumberFormat="1" applyFont="1" applyFill="1" applyBorder="1" applyAlignment="1">
      <alignment vertical="center"/>
      <protection/>
    </xf>
    <xf numFmtId="3" fontId="10" fillId="0" borderId="110" xfId="26" applyNumberFormat="1" applyFont="1" applyFill="1" applyBorder="1" applyAlignment="1">
      <alignment vertical="center"/>
      <protection/>
    </xf>
    <xf numFmtId="3" fontId="10" fillId="0" borderId="111" xfId="26" applyNumberFormat="1" applyFont="1" applyFill="1" applyBorder="1" applyAlignment="1">
      <alignment vertical="center"/>
      <protection/>
    </xf>
    <xf numFmtId="3" fontId="13" fillId="0" borderId="67" xfId="26" applyNumberFormat="1" applyFill="1" applyBorder="1" applyAlignment="1">
      <alignment vertical="center"/>
      <protection/>
    </xf>
    <xf numFmtId="3" fontId="13" fillId="0" borderId="13" xfId="26" applyNumberFormat="1" applyFill="1" applyBorder="1" applyAlignment="1">
      <alignment vertical="center"/>
      <protection/>
    </xf>
    <xf numFmtId="3" fontId="10" fillId="0" borderId="13" xfId="26" applyNumberFormat="1" applyFont="1" applyFill="1" applyBorder="1" applyAlignment="1">
      <alignment vertical="center"/>
      <protection/>
    </xf>
    <xf numFmtId="3" fontId="13" fillId="0" borderId="136" xfId="26" applyNumberFormat="1" applyFill="1" applyBorder="1" applyAlignment="1">
      <alignment vertical="center"/>
      <protection/>
    </xf>
    <xf numFmtId="3" fontId="13" fillId="0" borderId="12" xfId="26" applyNumberFormat="1" applyFill="1" applyBorder="1" applyAlignment="1">
      <alignment vertical="center"/>
      <protection/>
    </xf>
    <xf numFmtId="3" fontId="13" fillId="0" borderId="82" xfId="26" applyNumberFormat="1" applyFill="1" applyBorder="1" applyAlignment="1">
      <alignment vertical="center"/>
      <protection/>
    </xf>
    <xf numFmtId="3" fontId="10" fillId="0" borderId="29" xfId="26" applyNumberFormat="1" applyFont="1" applyFill="1" applyBorder="1" applyAlignment="1">
      <alignment vertical="center"/>
      <protection/>
    </xf>
    <xf numFmtId="3" fontId="13" fillId="0" borderId="68" xfId="26" applyNumberFormat="1" applyFill="1" applyBorder="1" applyAlignment="1">
      <alignment vertical="center"/>
      <protection/>
    </xf>
    <xf numFmtId="3" fontId="13" fillId="0" borderId="116" xfId="26" applyNumberFormat="1" applyFill="1" applyBorder="1" applyAlignment="1">
      <alignment vertical="center"/>
      <protection/>
    </xf>
    <xf numFmtId="3" fontId="27" fillId="0" borderId="42" xfId="26" applyNumberFormat="1" applyFont="1" applyFill="1" applyBorder="1" applyAlignment="1">
      <alignment vertical="center"/>
      <protection/>
    </xf>
    <xf numFmtId="3" fontId="27" fillId="0" borderId="112" xfId="26" applyNumberFormat="1" applyFont="1" applyFill="1" applyBorder="1" applyAlignment="1">
      <alignment vertical="center"/>
      <protection/>
    </xf>
    <xf numFmtId="3" fontId="13" fillId="0" borderId="24" xfId="26" applyNumberFormat="1" applyFill="1" applyBorder="1" applyAlignment="1">
      <alignment vertical="center"/>
      <protection/>
    </xf>
    <xf numFmtId="3" fontId="10" fillId="0" borderId="113" xfId="26" applyNumberFormat="1" applyFont="1" applyFill="1" applyBorder="1" applyAlignment="1">
      <alignment vertical="center"/>
      <protection/>
    </xf>
    <xf numFmtId="0" fontId="25" fillId="0" borderId="116" xfId="26" applyFont="1" applyFill="1" applyBorder="1" applyAlignment="1">
      <alignment vertical="center" wrapText="1" shrinkToFit="1"/>
      <protection/>
    </xf>
    <xf numFmtId="3" fontId="27" fillId="0" borderId="128" xfId="26" applyNumberFormat="1" applyFont="1" applyFill="1" applyBorder="1" applyAlignment="1">
      <alignment vertical="center"/>
      <protection/>
    </xf>
    <xf numFmtId="165" fontId="13" fillId="0" borderId="52" xfId="26" applyNumberFormat="1" applyFill="1" applyBorder="1" applyAlignment="1">
      <alignment vertical="center"/>
      <protection/>
    </xf>
    <xf numFmtId="0" fontId="10" fillId="0" borderId="69" xfId="26" applyFont="1" applyFill="1" applyBorder="1" applyAlignment="1">
      <alignment vertical="center" wrapText="1"/>
      <protection/>
    </xf>
    <xf numFmtId="0" fontId="10" fillId="0" borderId="71" xfId="26" applyFont="1" applyFill="1" applyBorder="1" applyAlignment="1">
      <alignment vertical="center" wrapText="1"/>
      <protection/>
    </xf>
    <xf numFmtId="165" fontId="13" fillId="0" borderId="53" xfId="26" applyNumberFormat="1" applyFill="1" applyBorder="1" applyAlignment="1">
      <alignment vertical="center"/>
      <protection/>
    </xf>
    <xf numFmtId="3" fontId="15" fillId="0" borderId="20" xfId="26" applyNumberFormat="1" applyFont="1" applyFill="1" applyBorder="1" applyAlignment="1">
      <alignment vertical="center"/>
      <protection/>
    </xf>
    <xf numFmtId="3" fontId="13" fillId="0" borderId="69" xfId="26" applyNumberFormat="1" applyFill="1" applyBorder="1" applyAlignment="1">
      <alignment vertical="center"/>
      <protection/>
    </xf>
    <xf numFmtId="3" fontId="13" fillId="0" borderId="72" xfId="26" applyNumberFormat="1" applyFill="1" applyBorder="1" applyAlignment="1">
      <alignment vertical="center"/>
      <protection/>
    </xf>
    <xf numFmtId="3" fontId="13" fillId="0" borderId="71" xfId="26" applyNumberFormat="1" applyFill="1" applyBorder="1" applyAlignment="1">
      <alignment vertical="center"/>
      <protection/>
    </xf>
    <xf numFmtId="10" fontId="10" fillId="0" borderId="50" xfId="26" applyNumberFormat="1" applyFont="1" applyFill="1" applyBorder="1" applyAlignment="1">
      <alignment vertical="center"/>
      <protection/>
    </xf>
    <xf numFmtId="0" fontId="10" fillId="0" borderId="37" xfId="26" applyFont="1" applyFill="1" applyBorder="1" applyAlignment="1">
      <alignment vertical="center"/>
      <protection/>
    </xf>
    <xf numFmtId="0" fontId="10" fillId="0" borderId="0" xfId="26" applyFont="1" applyFill="1" applyBorder="1" applyAlignment="1">
      <alignment vertical="center"/>
      <protection/>
    </xf>
    <xf numFmtId="0" fontId="10" fillId="0" borderId="0" xfId="26" applyFont="1" applyFill="1" applyAlignment="1">
      <alignment vertical="center"/>
      <protection/>
    </xf>
    <xf numFmtId="3" fontId="15" fillId="0" borderId="26" xfId="26" applyNumberFormat="1" applyFont="1" applyFill="1" applyBorder="1" applyAlignment="1">
      <alignment vertical="center"/>
      <protection/>
    </xf>
    <xf numFmtId="0" fontId="13" fillId="0" borderId="36" xfId="26" applyFill="1" applyBorder="1" applyAlignment="1">
      <alignment vertical="center"/>
      <protection/>
    </xf>
    <xf numFmtId="3" fontId="13" fillId="0" borderId="47" xfId="26" applyNumberFormat="1" applyFill="1" applyBorder="1" applyAlignment="1">
      <alignment vertical="center"/>
      <protection/>
    </xf>
    <xf numFmtId="3" fontId="13" fillId="0" borderId="28" xfId="26" applyNumberFormat="1" applyFill="1" applyBorder="1" applyAlignment="1">
      <alignment vertical="center"/>
      <protection/>
    </xf>
    <xf numFmtId="3" fontId="13" fillId="0" borderId="29" xfId="26" applyNumberFormat="1" applyFill="1" applyBorder="1" applyAlignment="1">
      <alignment vertical="center"/>
      <protection/>
    </xf>
    <xf numFmtId="3" fontId="13" fillId="0" borderId="42" xfId="26" applyNumberFormat="1" applyFill="1" applyBorder="1" applyAlignment="1">
      <alignment vertical="center"/>
      <protection/>
    </xf>
    <xf numFmtId="3" fontId="13" fillId="0" borderId="50" xfId="26" applyNumberFormat="1" applyFill="1" applyBorder="1" applyAlignment="1">
      <alignment vertical="center"/>
      <protection/>
    </xf>
    <xf numFmtId="3" fontId="13" fillId="0" borderId="27" xfId="26" applyNumberFormat="1" applyFill="1" applyBorder="1" applyAlignment="1">
      <alignment vertical="center"/>
      <protection/>
    </xf>
    <xf numFmtId="164" fontId="13" fillId="0" borderId="28" xfId="26" applyNumberFormat="1" applyFill="1" applyBorder="1" applyAlignment="1">
      <alignment vertical="center"/>
      <protection/>
    </xf>
    <xf numFmtId="164" fontId="13" fillId="0" borderId="29" xfId="26" applyNumberFormat="1" applyFill="1" applyBorder="1" applyAlignment="1">
      <alignment vertical="center"/>
      <protection/>
    </xf>
    <xf numFmtId="0" fontId="13" fillId="0" borderId="37" xfId="26" applyFill="1" applyBorder="1" applyAlignment="1">
      <alignment vertical="center"/>
      <protection/>
    </xf>
    <xf numFmtId="10" fontId="13" fillId="0" borderId="135" xfId="26" applyNumberFormat="1" applyFill="1" applyBorder="1" applyAlignment="1">
      <alignment vertical="center"/>
      <protection/>
    </xf>
    <xf numFmtId="4" fontId="13" fillId="0" borderId="136" xfId="26" applyNumberFormat="1" applyFill="1" applyBorder="1" applyAlignment="1">
      <alignment vertical="center"/>
      <protection/>
    </xf>
    <xf numFmtId="168" fontId="26" fillId="0" borderId="46" xfId="25" applyNumberFormat="1" applyFont="1" applyFill="1" applyBorder="1" applyAlignment="1">
      <alignment vertical="center"/>
      <protection/>
    </xf>
    <xf numFmtId="3" fontId="13" fillId="0" borderId="54" xfId="26" applyNumberFormat="1" applyFont="1" applyFill="1" applyBorder="1" applyAlignment="1">
      <alignment vertical="center"/>
      <protection/>
    </xf>
    <xf numFmtId="4" fontId="13" fillId="0" borderId="40" xfId="26" applyNumberFormat="1" applyFill="1" applyBorder="1" applyAlignment="1">
      <alignment vertical="center"/>
      <protection/>
    </xf>
    <xf numFmtId="168" fontId="26" fillId="0" borderId="5" xfId="25" applyNumberFormat="1" applyFont="1" applyFill="1" applyBorder="1" applyAlignment="1">
      <alignment vertical="center"/>
      <protection/>
    </xf>
    <xf numFmtId="168" fontId="26" fillId="0" borderId="22" xfId="25" applyNumberFormat="1" applyFont="1" applyFill="1" applyBorder="1" applyAlignment="1">
      <alignment vertical="center"/>
      <protection/>
    </xf>
    <xf numFmtId="4" fontId="13" fillId="0" borderId="108" xfId="26" applyNumberFormat="1" applyFill="1" applyBorder="1" applyAlignment="1">
      <alignment vertical="center"/>
      <protection/>
    </xf>
    <xf numFmtId="168" fontId="28" fillId="0" borderId="28" xfId="25" applyNumberFormat="1" applyFont="1" applyFill="1" applyBorder="1" applyAlignment="1">
      <alignment vertical="center"/>
      <protection/>
    </xf>
    <xf numFmtId="3" fontId="15" fillId="0" borderId="90" xfId="26" applyNumberFormat="1" applyFont="1" applyFill="1" applyBorder="1" applyAlignment="1">
      <alignment vertical="center"/>
      <protection/>
    </xf>
    <xf numFmtId="0" fontId="13" fillId="0" borderId="72" xfId="26" applyFill="1" applyBorder="1" applyAlignment="1">
      <alignment vertical="center"/>
      <protection/>
    </xf>
    <xf numFmtId="164" fontId="13" fillId="0" borderId="56" xfId="26" applyNumberFormat="1" applyFill="1" applyBorder="1" applyAlignment="1">
      <alignment vertical="center"/>
      <protection/>
    </xf>
    <xf numFmtId="164" fontId="13" fillId="0" borderId="65" xfId="26" applyNumberFormat="1" applyFill="1" applyBorder="1" applyAlignment="1">
      <alignment vertical="center"/>
      <protection/>
    </xf>
    <xf numFmtId="164" fontId="13" fillId="0" borderId="137" xfId="26" applyNumberFormat="1" applyFill="1" applyBorder="1" applyAlignment="1">
      <alignment vertical="center"/>
      <protection/>
    </xf>
    <xf numFmtId="164" fontId="13" fillId="0" borderId="55" xfId="26" applyNumberFormat="1" applyFill="1" applyBorder="1" applyAlignment="1">
      <alignment vertical="center"/>
      <protection/>
    </xf>
    <xf numFmtId="164" fontId="13" fillId="0" borderId="57" xfId="26" applyNumberFormat="1" applyFill="1" applyBorder="1" applyAlignment="1">
      <alignment vertical="center"/>
      <protection/>
    </xf>
    <xf numFmtId="164" fontId="13" fillId="0" borderId="93" xfId="26" applyNumberFormat="1" applyFill="1" applyBorder="1" applyAlignment="1">
      <alignment vertical="center"/>
      <protection/>
    </xf>
    <xf numFmtId="165" fontId="13" fillId="0" borderId="56" xfId="26" applyNumberFormat="1" applyFont="1" applyFill="1" applyBorder="1" applyAlignment="1">
      <alignment vertical="center"/>
      <protection/>
    </xf>
    <xf numFmtId="0" fontId="13" fillId="0" borderId="33" xfId="26" applyFill="1" applyBorder="1" applyAlignment="1">
      <alignment vertical="center"/>
      <protection/>
    </xf>
    <xf numFmtId="3" fontId="15" fillId="0" borderId="88" xfId="26" applyNumberFormat="1" applyFont="1" applyFill="1" applyBorder="1" applyAlignment="1">
      <alignment vertical="center"/>
      <protection/>
    </xf>
    <xf numFmtId="0" fontId="13" fillId="0" borderId="84" xfId="26" applyFill="1" applyBorder="1" applyAlignment="1">
      <alignment vertical="center"/>
      <protection/>
    </xf>
    <xf numFmtId="164" fontId="13" fillId="0" borderId="44" xfId="26" applyNumberFormat="1" applyFill="1" applyBorder="1" applyAlignment="1">
      <alignment vertical="center"/>
      <protection/>
    </xf>
    <xf numFmtId="164" fontId="13" fillId="0" borderId="66" xfId="26" applyNumberFormat="1" applyFill="1" applyBorder="1" applyAlignment="1">
      <alignment vertical="center"/>
      <protection/>
    </xf>
    <xf numFmtId="164" fontId="13" fillId="0" borderId="138" xfId="26" applyNumberFormat="1" applyFill="1" applyBorder="1" applyAlignment="1">
      <alignment vertical="center"/>
      <protection/>
    </xf>
    <xf numFmtId="164" fontId="13" fillId="0" borderId="58" xfId="26" applyNumberFormat="1" applyFill="1" applyBorder="1" applyAlignment="1">
      <alignment vertical="center"/>
      <protection/>
    </xf>
    <xf numFmtId="164" fontId="13" fillId="0" borderId="59" xfId="26" applyNumberFormat="1" applyFill="1" applyBorder="1" applyAlignment="1">
      <alignment vertical="center"/>
      <protection/>
    </xf>
    <xf numFmtId="164" fontId="13" fillId="0" borderId="94" xfId="26" applyNumberFormat="1" applyFill="1" applyBorder="1" applyAlignment="1">
      <alignment vertical="center"/>
      <protection/>
    </xf>
    <xf numFmtId="169" fontId="13" fillId="0" borderId="58" xfId="26" applyNumberFormat="1" applyFill="1" applyBorder="1" applyAlignment="1">
      <alignment vertical="center"/>
      <protection/>
    </xf>
    <xf numFmtId="168" fontId="28" fillId="0" borderId="45" xfId="25" applyNumberFormat="1" applyFont="1" applyFill="1" applyBorder="1" applyAlignment="1">
      <alignment vertical="center"/>
      <protection/>
    </xf>
    <xf numFmtId="3" fontId="10" fillId="0" borderId="110" xfId="26" applyNumberFormat="1" applyFont="1" applyFill="1" applyBorder="1" applyAlignment="1">
      <alignment vertical="center"/>
      <protection/>
    </xf>
    <xf numFmtId="0" fontId="25" fillId="0" borderId="69" xfId="26" applyFont="1" applyFill="1" applyBorder="1" applyAlignment="1">
      <alignment vertical="center" wrapText="1" shrinkToFit="1"/>
      <protection/>
    </xf>
    <xf numFmtId="0" fontId="25" fillId="0" borderId="3" xfId="26" applyFont="1" applyFill="1" applyBorder="1" applyAlignment="1">
      <alignment vertical="center" wrapText="1" shrinkToFit="1"/>
      <protection/>
    </xf>
    <xf numFmtId="4" fontId="13" fillId="0" borderId="14" xfId="26" applyNumberFormat="1" applyFill="1" applyBorder="1" applyAlignment="1">
      <alignment vertical="center"/>
      <protection/>
    </xf>
    <xf numFmtId="4" fontId="13" fillId="0" borderId="98" xfId="26" applyNumberFormat="1" applyFill="1" applyBorder="1" applyAlignment="1">
      <alignment vertical="center"/>
      <protection/>
    </xf>
    <xf numFmtId="2" fontId="13" fillId="0" borderId="108" xfId="26" applyNumberFormat="1" applyFill="1" applyBorder="1" applyAlignment="1">
      <alignment vertical="center"/>
      <protection/>
    </xf>
    <xf numFmtId="4" fontId="10" fillId="0" borderId="36" xfId="26" applyNumberFormat="1" applyFont="1" applyFill="1" applyBorder="1" applyAlignment="1">
      <alignment vertical="center"/>
      <protection/>
    </xf>
    <xf numFmtId="0" fontId="13" fillId="0" borderId="3" xfId="26" applyFill="1" applyBorder="1" applyAlignment="1">
      <alignment vertical="center"/>
      <protection/>
    </xf>
    <xf numFmtId="0" fontId="13" fillId="0" borderId="46" xfId="26" applyFill="1" applyBorder="1" applyAlignment="1">
      <alignment vertical="center"/>
      <protection/>
    </xf>
    <xf numFmtId="0" fontId="13" fillId="0" borderId="67" xfId="26" applyFill="1" applyBorder="1" applyAlignment="1">
      <alignment vertical="center"/>
      <protection/>
    </xf>
    <xf numFmtId="3" fontId="13" fillId="0" borderId="39" xfId="26" applyNumberFormat="1" applyFill="1" applyBorder="1" applyAlignment="1">
      <alignment vertical="center"/>
      <protection/>
    </xf>
    <xf numFmtId="169" fontId="13" fillId="0" borderId="54" xfId="26" applyNumberFormat="1" applyFill="1" applyBorder="1" applyAlignment="1">
      <alignment vertical="center"/>
      <protection/>
    </xf>
    <xf numFmtId="10" fontId="13" fillId="0" borderId="14" xfId="26" applyNumberFormat="1" applyFill="1" applyBorder="1" applyAlignment="1">
      <alignment vertical="center"/>
      <protection/>
    </xf>
    <xf numFmtId="177" fontId="17" fillId="0" borderId="14" xfId="22" applyNumberFormat="1" applyFont="1" applyBorder="1" applyAlignment="1">
      <alignment vertical="center"/>
      <protection/>
    </xf>
    <xf numFmtId="10" fontId="13" fillId="0" borderId="98" xfId="26" applyNumberFormat="1" applyFill="1" applyBorder="1" applyAlignment="1">
      <alignment vertical="center"/>
      <protection/>
    </xf>
    <xf numFmtId="3" fontId="13" fillId="0" borderId="14" xfId="26" applyNumberFormat="1" applyFill="1" applyBorder="1" applyAlignment="1">
      <alignment vertical="center"/>
      <protection/>
    </xf>
    <xf numFmtId="3" fontId="26" fillId="0" borderId="5" xfId="26" applyNumberFormat="1" applyFont="1" applyBorder="1" applyAlignment="1">
      <alignment vertical="center"/>
      <protection/>
    </xf>
    <xf numFmtId="169" fontId="13" fillId="0" borderId="51" xfId="26" applyNumberFormat="1" applyFill="1" applyBorder="1" applyAlignment="1">
      <alignment vertical="center"/>
      <protection/>
    </xf>
    <xf numFmtId="3" fontId="10" fillId="0" borderId="14" xfId="26" applyNumberFormat="1" applyFont="1" applyFill="1" applyBorder="1" applyAlignment="1">
      <alignment vertical="center"/>
      <protection/>
    </xf>
    <xf numFmtId="168" fontId="28" fillId="0" borderId="5" xfId="25" applyNumberFormat="1" applyFont="1" applyFill="1" applyBorder="1" applyAlignment="1">
      <alignment vertical="center"/>
      <protection/>
    </xf>
    <xf numFmtId="165" fontId="10" fillId="0" borderId="13" xfId="26" applyNumberFormat="1" applyFont="1" applyFill="1" applyBorder="1" applyAlignment="1">
      <alignment vertical="center"/>
      <protection/>
    </xf>
    <xf numFmtId="169" fontId="10" fillId="0" borderId="51" xfId="26" applyNumberFormat="1" applyFont="1" applyFill="1" applyBorder="1" applyAlignment="1">
      <alignment vertical="center"/>
      <protection/>
    </xf>
    <xf numFmtId="0" fontId="10" fillId="0" borderId="107" xfId="26" applyFont="1" applyFill="1" applyBorder="1" applyAlignment="1">
      <alignment vertical="center"/>
      <protection/>
    </xf>
    <xf numFmtId="3" fontId="27" fillId="0" borderId="14" xfId="26" applyNumberFormat="1" applyFont="1" applyFill="1" applyBorder="1" applyAlignment="1">
      <alignment vertical="center"/>
      <protection/>
    </xf>
    <xf numFmtId="165" fontId="27" fillId="0" borderId="13" xfId="26" applyNumberFormat="1" applyFont="1" applyFill="1" applyBorder="1" applyAlignment="1">
      <alignment vertical="center"/>
      <protection/>
    </xf>
    <xf numFmtId="169" fontId="10" fillId="0" borderId="51" xfId="26" applyNumberFormat="1" applyFont="1" applyFill="1" applyBorder="1" applyAlignment="1">
      <alignment vertical="center"/>
      <protection/>
    </xf>
    <xf numFmtId="164" fontId="13" fillId="0" borderId="13" xfId="26" applyNumberFormat="1" applyFill="1" applyBorder="1" applyAlignment="1">
      <alignment vertical="center"/>
      <protection/>
    </xf>
    <xf numFmtId="3" fontId="13" fillId="0" borderId="107" xfId="26" applyNumberFormat="1" applyFill="1" applyBorder="1" applyAlignment="1">
      <alignment vertical="center"/>
      <protection/>
    </xf>
    <xf numFmtId="3" fontId="13" fillId="0" borderId="98" xfId="26" applyNumberFormat="1" applyFill="1" applyBorder="1" applyAlignment="1">
      <alignment vertical="center"/>
      <protection/>
    </xf>
    <xf numFmtId="3" fontId="13" fillId="0" borderId="108" xfId="26" applyNumberFormat="1" applyFill="1" applyBorder="1" applyAlignment="1">
      <alignment vertical="center"/>
      <protection/>
    </xf>
    <xf numFmtId="3" fontId="10" fillId="0" borderId="139" xfId="26" applyNumberFormat="1" applyFont="1" applyFill="1" applyBorder="1" applyAlignment="1">
      <alignment vertical="center"/>
      <protection/>
    </xf>
    <xf numFmtId="3" fontId="10" fillId="0" borderId="114" xfId="26" applyNumberFormat="1" applyFont="1" applyFill="1" applyBorder="1" applyAlignment="1">
      <alignment vertical="center"/>
      <protection/>
    </xf>
    <xf numFmtId="49" fontId="5" fillId="3" borderId="140" xfId="0" applyNumberFormat="1" applyFont="1" applyFill="1" applyBorder="1" applyAlignment="1">
      <alignment horizontal="center"/>
    </xf>
    <xf numFmtId="0" fontId="5" fillId="3" borderId="141" xfId="0" applyFont="1" applyFill="1" applyBorder="1" applyAlignment="1">
      <alignment horizontal="center"/>
    </xf>
    <xf numFmtId="178" fontId="5" fillId="3" borderId="14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49" fontId="41" fillId="0" borderId="142" xfId="0" applyNumberFormat="1" applyFont="1" applyBorder="1" applyAlignment="1">
      <alignment vertical="center"/>
    </xf>
    <xf numFmtId="0" fontId="41" fillId="0" borderId="70" xfId="0" applyFont="1" applyBorder="1" applyAlignment="1">
      <alignment vertical="center"/>
    </xf>
    <xf numFmtId="178" fontId="41" fillId="0" borderId="70" xfId="0" applyNumberFormat="1" applyFont="1" applyBorder="1" applyAlignment="1">
      <alignment vertical="center"/>
    </xf>
    <xf numFmtId="0" fontId="41" fillId="0" borderId="70" xfId="0" applyFont="1" applyBorder="1" applyAlignment="1">
      <alignment vertical="center" wrapText="1"/>
    </xf>
    <xf numFmtId="0" fontId="41" fillId="0" borderId="143" xfId="0" applyFont="1" applyBorder="1" applyAlignment="1">
      <alignment vertical="center"/>
    </xf>
    <xf numFmtId="0" fontId="41" fillId="0" borderId="42" xfId="0" applyFont="1" applyBorder="1" applyAlignment="1">
      <alignment vertical="center"/>
    </xf>
    <xf numFmtId="178" fontId="41" fillId="0" borderId="42" xfId="0" applyNumberFormat="1" applyFont="1" applyBorder="1" applyAlignment="1">
      <alignment vertical="center"/>
    </xf>
    <xf numFmtId="0" fontId="41" fillId="0" borderId="42" xfId="0" applyFont="1" applyBorder="1" applyAlignment="1">
      <alignment vertical="center" wrapText="1"/>
    </xf>
    <xf numFmtId="0" fontId="41" fillId="0" borderId="144" xfId="0" applyFont="1" applyBorder="1" applyAlignment="1">
      <alignment vertical="center"/>
    </xf>
    <xf numFmtId="0" fontId="41" fillId="0" borderId="144" xfId="0" applyFont="1" applyBorder="1" applyAlignment="1">
      <alignment vertical="center" wrapText="1"/>
    </xf>
    <xf numFmtId="49" fontId="41" fillId="0" borderId="145" xfId="0" applyNumberFormat="1" applyFont="1" applyBorder="1" applyAlignment="1">
      <alignment vertical="center"/>
    </xf>
    <xf numFmtId="0" fontId="41" fillId="0" borderId="146" xfId="0" applyFont="1" applyBorder="1" applyAlignment="1">
      <alignment vertical="center"/>
    </xf>
    <xf numFmtId="178" fontId="41" fillId="0" borderId="146" xfId="0" applyNumberFormat="1" applyFont="1" applyBorder="1" applyAlignment="1">
      <alignment vertical="center"/>
    </xf>
    <xf numFmtId="0" fontId="41" fillId="0" borderId="146" xfId="0" applyFont="1" applyBorder="1" applyAlignment="1">
      <alignment vertical="center" wrapText="1"/>
    </xf>
    <xf numFmtId="0" fontId="41" fillId="0" borderId="147" xfId="0" applyFont="1" applyBorder="1" applyAlignment="1">
      <alignment vertical="center"/>
    </xf>
    <xf numFmtId="49" fontId="0" fillId="0" borderId="0" xfId="0" applyNumberFormat="1" applyAlignment="1">
      <alignment/>
    </xf>
    <xf numFmtId="0" fontId="5" fillId="3" borderId="141" xfId="0" applyFont="1" applyFill="1" applyBorder="1" applyAlignment="1">
      <alignment/>
    </xf>
    <xf numFmtId="178" fontId="5" fillId="3" borderId="141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13" fillId="0" borderId="5" xfId="24" applyFont="1" applyBorder="1" applyAlignment="1">
      <alignment vertical="center"/>
      <protection/>
    </xf>
    <xf numFmtId="0" fontId="10" fillId="0" borderId="102" xfId="27" applyFont="1" applyFill="1" applyBorder="1" applyAlignment="1">
      <alignment horizontal="center" vertical="center"/>
      <protection/>
    </xf>
    <xf numFmtId="0" fontId="10" fillId="0" borderId="42" xfId="27" applyFont="1" applyFill="1" applyBorder="1" applyAlignment="1">
      <alignment horizontal="center" vertical="center"/>
      <protection/>
    </xf>
    <xf numFmtId="0" fontId="10" fillId="0" borderId="122" xfId="27" applyFont="1" applyFill="1" applyBorder="1" applyAlignment="1">
      <alignment horizontal="center" vertical="center"/>
      <protection/>
    </xf>
    <xf numFmtId="0" fontId="10" fillId="0" borderId="148" xfId="0" applyFont="1" applyFill="1" applyBorder="1" applyAlignment="1">
      <alignment horizontal="center" vertical="center"/>
    </xf>
    <xf numFmtId="0" fontId="10" fillId="0" borderId="74" xfId="27" applyFont="1" applyFill="1" applyBorder="1" applyAlignment="1">
      <alignment horizontal="center" vertical="center"/>
      <protection/>
    </xf>
    <xf numFmtId="0" fontId="10" fillId="0" borderId="149" xfId="27" applyFont="1" applyFill="1" applyBorder="1" applyAlignment="1">
      <alignment horizontal="center" vertical="center"/>
      <protection/>
    </xf>
    <xf numFmtId="10" fontId="13" fillId="0" borderId="46" xfId="0" applyNumberFormat="1" applyFont="1" applyFill="1" applyBorder="1" applyAlignment="1">
      <alignment vertical="center"/>
    </xf>
    <xf numFmtId="10" fontId="13" fillId="0" borderId="5" xfId="0" applyNumberFormat="1" applyFont="1" applyFill="1" applyBorder="1" applyAlignment="1">
      <alignment vertical="center"/>
    </xf>
    <xf numFmtId="10" fontId="13" fillId="0" borderId="22" xfId="0" applyNumberFormat="1" applyFont="1" applyFill="1" applyBorder="1" applyAlignment="1">
      <alignment vertical="center"/>
    </xf>
    <xf numFmtId="10" fontId="13" fillId="0" borderId="56" xfId="0" applyNumberFormat="1" applyFont="1" applyFill="1" applyBorder="1" applyAlignment="1">
      <alignment vertical="center"/>
    </xf>
    <xf numFmtId="10" fontId="13" fillId="0" borderId="44" xfId="0" applyNumberFormat="1" applyFont="1" applyFill="1" applyBorder="1" applyAlignment="1">
      <alignment vertical="center"/>
    </xf>
    <xf numFmtId="0" fontId="10" fillId="0" borderId="58" xfId="27" applyFont="1" applyFill="1" applyBorder="1" applyAlignment="1">
      <alignment horizontal="center" vertical="center"/>
      <protection/>
    </xf>
    <xf numFmtId="0" fontId="10" fillId="0" borderId="44" xfId="27" applyFont="1" applyFill="1" applyBorder="1" applyAlignment="1">
      <alignment horizontal="center" vertical="center"/>
      <protection/>
    </xf>
    <xf numFmtId="0" fontId="10" fillId="0" borderId="85" xfId="24" applyFont="1" applyBorder="1" applyAlignment="1">
      <alignment vertical="center"/>
      <protection/>
    </xf>
    <xf numFmtId="0" fontId="13" fillId="0" borderId="0" xfId="24" applyFont="1" applyAlignment="1">
      <alignment vertical="center"/>
      <protection/>
    </xf>
    <xf numFmtId="0" fontId="13" fillId="0" borderId="0" xfId="24" applyFont="1" applyAlignment="1">
      <alignment horizontal="right" vertical="center"/>
      <protection/>
    </xf>
    <xf numFmtId="9" fontId="13" fillId="0" borderId="5" xfId="24" applyNumberFormat="1" applyFont="1" applyBorder="1" applyAlignment="1">
      <alignment vertical="center"/>
      <protection/>
    </xf>
    <xf numFmtId="0" fontId="13" fillId="0" borderId="0" xfId="24" applyFont="1" applyBorder="1" applyAlignment="1">
      <alignment vertical="center"/>
      <protection/>
    </xf>
    <xf numFmtId="0" fontId="13" fillId="0" borderId="5" xfId="24" applyFont="1" applyBorder="1" applyAlignment="1">
      <alignment horizontal="right" vertical="center"/>
      <protection/>
    </xf>
    <xf numFmtId="3" fontId="13" fillId="0" borderId="0" xfId="24" applyNumberFormat="1" applyFont="1" applyBorder="1" applyAlignment="1">
      <alignment vertical="center"/>
      <protection/>
    </xf>
    <xf numFmtId="3" fontId="13" fillId="0" borderId="5" xfId="24" applyNumberFormat="1" applyFont="1" applyBorder="1" applyAlignment="1">
      <alignment vertical="center"/>
      <protection/>
    </xf>
    <xf numFmtId="3" fontId="10" fillId="0" borderId="5" xfId="24" applyNumberFormat="1" applyFont="1" applyBorder="1" applyAlignment="1">
      <alignment vertical="center"/>
      <protection/>
    </xf>
    <xf numFmtId="0" fontId="10" fillId="0" borderId="85" xfId="24" applyFont="1" applyFill="1" applyBorder="1" applyAlignment="1">
      <alignment vertical="center"/>
      <protection/>
    </xf>
    <xf numFmtId="0" fontId="10" fillId="0" borderId="85" xfId="24" applyFont="1" applyFill="1" applyBorder="1" applyAlignment="1">
      <alignment vertical="center" wrapText="1" shrinkToFit="1"/>
      <protection/>
    </xf>
    <xf numFmtId="3" fontId="13" fillId="0" borderId="0" xfId="24" applyNumberFormat="1" applyFont="1" applyAlignment="1">
      <alignment vertical="center"/>
      <protection/>
    </xf>
    <xf numFmtId="0" fontId="13" fillId="0" borderId="123" xfId="27" applyFont="1" applyFill="1" applyBorder="1" applyAlignment="1">
      <alignment horizontal="center" vertical="center"/>
      <protection/>
    </xf>
    <xf numFmtId="0" fontId="10" fillId="0" borderId="43" xfId="27" applyFont="1" applyFill="1" applyBorder="1" applyAlignment="1">
      <alignment horizontal="center" vertical="center"/>
      <protection/>
    </xf>
    <xf numFmtId="0" fontId="13" fillId="0" borderId="101" xfId="27" applyFont="1" applyFill="1" applyBorder="1" applyAlignment="1">
      <alignment horizontal="center" vertical="center"/>
      <protection/>
    </xf>
    <xf numFmtId="0" fontId="10" fillId="0" borderId="103" xfId="27" applyFont="1" applyFill="1" applyBorder="1" applyAlignment="1">
      <alignment horizontal="center" vertical="center"/>
      <protection/>
    </xf>
    <xf numFmtId="0" fontId="10" fillId="0" borderId="150" xfId="0" applyFont="1" applyFill="1" applyBorder="1" applyAlignment="1">
      <alignment horizontal="center" vertical="center"/>
    </xf>
    <xf numFmtId="0" fontId="10" fillId="0" borderId="151" xfId="27" applyFont="1" applyFill="1" applyBorder="1" applyAlignment="1">
      <alignment horizontal="center" vertical="center"/>
      <protection/>
    </xf>
    <xf numFmtId="0" fontId="10" fillId="0" borderId="103" xfId="0" applyFont="1" applyFill="1" applyBorder="1" applyAlignment="1">
      <alignment horizontal="center" vertical="center"/>
    </xf>
    <xf numFmtId="0" fontId="10" fillId="0" borderId="124" xfId="27" applyFont="1" applyFill="1" applyBorder="1" applyAlignment="1">
      <alignment horizontal="center" vertical="center"/>
      <protection/>
    </xf>
    <xf numFmtId="0" fontId="13" fillId="0" borderId="152" xfId="27" applyFont="1" applyFill="1" applyBorder="1" applyAlignment="1">
      <alignment horizontal="center" vertical="center"/>
      <protection/>
    </xf>
    <xf numFmtId="0" fontId="10" fillId="0" borderId="153" xfId="27" applyFont="1" applyFill="1" applyBorder="1" applyAlignment="1">
      <alignment horizontal="center" vertical="center"/>
      <protection/>
    </xf>
    <xf numFmtId="0" fontId="10" fillId="0" borderId="154" xfId="27" applyFont="1" applyFill="1" applyBorder="1" applyAlignment="1">
      <alignment horizontal="center" vertical="center"/>
      <protection/>
    </xf>
    <xf numFmtId="0" fontId="10" fillId="0" borderId="47" xfId="27" applyFont="1" applyFill="1" applyBorder="1" applyAlignment="1">
      <alignment horizontal="center" vertical="center"/>
      <protection/>
    </xf>
    <xf numFmtId="0" fontId="10" fillId="0" borderId="30" xfId="27" applyFont="1" applyFill="1" applyBorder="1" applyAlignment="1">
      <alignment horizontal="center" vertical="center"/>
      <protection/>
    </xf>
    <xf numFmtId="0" fontId="10" fillId="0" borderId="155" xfId="27" applyFont="1" applyFill="1" applyBorder="1" applyAlignment="1">
      <alignment horizontal="center" vertical="center"/>
      <protection/>
    </xf>
    <xf numFmtId="0" fontId="13" fillId="0" borderId="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3" fontId="13" fillId="0" borderId="44" xfId="24" applyNumberFormat="1" applyFont="1" applyBorder="1" applyAlignment="1">
      <alignment vertical="center"/>
      <protection/>
    </xf>
    <xf numFmtId="0" fontId="10" fillId="0" borderId="47" xfId="19" applyFont="1" applyBorder="1" applyAlignment="1">
      <alignment horizontal="center" vertical="center"/>
      <protection/>
    </xf>
    <xf numFmtId="0" fontId="10" fillId="0" borderId="28" xfId="19" applyFont="1" applyBorder="1" applyAlignment="1">
      <alignment horizontal="center" vertical="center" wrapText="1"/>
      <protection/>
    </xf>
    <xf numFmtId="10" fontId="13" fillId="0" borderId="135" xfId="0" applyNumberFormat="1" applyFont="1" applyFill="1" applyBorder="1" applyAlignment="1">
      <alignment vertical="center"/>
    </xf>
    <xf numFmtId="10" fontId="13" fillId="0" borderId="57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3" fontId="13" fillId="0" borderId="93" xfId="0" applyNumberFormat="1" applyFont="1" applyBorder="1" applyAlignment="1">
      <alignment vertical="center"/>
    </xf>
    <xf numFmtId="3" fontId="13" fillId="0" borderId="56" xfId="0" applyNumberFormat="1" applyFont="1" applyBorder="1" applyAlignment="1">
      <alignment vertical="center"/>
    </xf>
    <xf numFmtId="3" fontId="13" fillId="0" borderId="46" xfId="0" applyNumberFormat="1" applyFont="1" applyBorder="1" applyAlignment="1">
      <alignment vertical="center"/>
    </xf>
    <xf numFmtId="3" fontId="13" fillId="0" borderId="135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3" fillId="0" borderId="5" xfId="0" applyNumberFormat="1" applyFont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3" fontId="13" fillId="0" borderId="94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3" fontId="13" fillId="0" borderId="100" xfId="0" applyNumberFormat="1" applyFont="1" applyBorder="1" applyAlignment="1">
      <alignment vertical="center"/>
    </xf>
    <xf numFmtId="10" fontId="13" fillId="0" borderId="93" xfId="0" applyNumberFormat="1" applyFont="1" applyBorder="1" applyAlignment="1">
      <alignment vertical="center"/>
    </xf>
    <xf numFmtId="10" fontId="13" fillId="0" borderId="56" xfId="0" applyNumberFormat="1" applyFont="1" applyBorder="1" applyAlignment="1">
      <alignment vertical="center"/>
    </xf>
    <xf numFmtId="10" fontId="13" fillId="0" borderId="46" xfId="0" applyNumberFormat="1" applyFont="1" applyBorder="1" applyAlignment="1">
      <alignment vertical="center"/>
    </xf>
    <xf numFmtId="10" fontId="13" fillId="0" borderId="78" xfId="0" applyNumberFormat="1" applyFont="1" applyBorder="1" applyAlignment="1">
      <alignment vertical="center"/>
    </xf>
    <xf numFmtId="3" fontId="13" fillId="0" borderId="104" xfId="0" applyNumberFormat="1" applyFont="1" applyBorder="1" applyAlignment="1">
      <alignment vertical="center"/>
    </xf>
    <xf numFmtId="10" fontId="13" fillId="0" borderId="1" xfId="0" applyNumberFormat="1" applyFont="1" applyBorder="1" applyAlignment="1">
      <alignment vertical="center"/>
    </xf>
    <xf numFmtId="10" fontId="13" fillId="0" borderId="5" xfId="0" applyNumberFormat="1" applyFont="1" applyBorder="1" applyAlignment="1">
      <alignment vertical="center"/>
    </xf>
    <xf numFmtId="3" fontId="13" fillId="0" borderId="127" xfId="0" applyNumberFormat="1" applyFont="1" applyBorder="1" applyAlignment="1">
      <alignment vertical="center"/>
    </xf>
    <xf numFmtId="10" fontId="13" fillId="0" borderId="94" xfId="0" applyNumberFormat="1" applyFont="1" applyBorder="1" applyAlignment="1">
      <alignment vertical="center"/>
    </xf>
    <xf numFmtId="10" fontId="13" fillId="0" borderId="44" xfId="0" applyNumberFormat="1" applyFont="1" applyBorder="1" applyAlignment="1">
      <alignment vertical="center"/>
    </xf>
    <xf numFmtId="10" fontId="13" fillId="0" borderId="22" xfId="0" applyNumberFormat="1" applyFont="1" applyBorder="1" applyAlignment="1">
      <alignment vertical="center"/>
    </xf>
    <xf numFmtId="3" fontId="10" fillId="0" borderId="156" xfId="0" applyNumberFormat="1" applyFont="1" applyBorder="1" applyAlignment="1">
      <alignment vertical="center"/>
    </xf>
    <xf numFmtId="10" fontId="13" fillId="0" borderId="157" xfId="0" applyNumberFormat="1" applyFont="1" applyBorder="1" applyAlignment="1">
      <alignment vertical="center"/>
    </xf>
    <xf numFmtId="10" fontId="13" fillId="0" borderId="133" xfId="0" applyNumberFormat="1" applyFont="1" applyBorder="1" applyAlignment="1">
      <alignment vertical="center"/>
    </xf>
    <xf numFmtId="10" fontId="13" fillId="0" borderId="0" xfId="0" applyNumberFormat="1" applyFont="1" applyBorder="1" applyAlignment="1">
      <alignment vertical="center"/>
    </xf>
    <xf numFmtId="3" fontId="59" fillId="0" borderId="117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0" fontId="13" fillId="0" borderId="104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05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10" fontId="13" fillId="0" borderId="8" xfId="0" applyNumberFormat="1" applyFont="1" applyBorder="1" applyAlignment="1">
      <alignment vertical="center"/>
    </xf>
    <xf numFmtId="10" fontId="13" fillId="0" borderId="9" xfId="0" applyNumberFormat="1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3" fontId="10" fillId="0" borderId="117" xfId="0" applyNumberFormat="1" applyFont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3" fontId="10" fillId="0" borderId="46" xfId="0" applyNumberFormat="1" applyFont="1" applyBorder="1" applyAlignment="1">
      <alignment vertical="center"/>
    </xf>
    <xf numFmtId="0" fontId="10" fillId="0" borderId="135" xfId="0" applyFont="1" applyBorder="1" applyAlignment="1">
      <alignment vertical="center"/>
    </xf>
    <xf numFmtId="3" fontId="59" fillId="0" borderId="104" xfId="0" applyNumberFormat="1" applyFont="1" applyBorder="1" applyAlignment="1">
      <alignment vertical="center"/>
    </xf>
    <xf numFmtId="3" fontId="59" fillId="0" borderId="127" xfId="0" applyNumberFormat="1" applyFont="1" applyBorder="1" applyAlignment="1">
      <alignment vertical="center"/>
    </xf>
    <xf numFmtId="3" fontId="13" fillId="0" borderId="157" xfId="0" applyNumberFormat="1" applyFont="1" applyBorder="1" applyAlignment="1">
      <alignment vertical="center"/>
    </xf>
    <xf numFmtId="3" fontId="13" fillId="0" borderId="133" xfId="0" applyNumberFormat="1" applyFont="1" applyBorder="1" applyAlignment="1">
      <alignment vertical="center"/>
    </xf>
    <xf numFmtId="3" fontId="10" fillId="0" borderId="133" xfId="0" applyNumberFormat="1" applyFont="1" applyBorder="1" applyAlignment="1">
      <alignment vertical="center"/>
    </xf>
    <xf numFmtId="3" fontId="10" fillId="0" borderId="158" xfId="0" applyNumberFormat="1" applyFont="1" applyBorder="1" applyAlignment="1">
      <alignment vertical="center"/>
    </xf>
    <xf numFmtId="10" fontId="13" fillId="0" borderId="6" xfId="0" applyNumberFormat="1" applyFont="1" applyBorder="1" applyAlignment="1">
      <alignment vertical="center"/>
    </xf>
    <xf numFmtId="3" fontId="59" fillId="0" borderId="118" xfId="0" applyNumberFormat="1" applyFont="1" applyBorder="1" applyAlignment="1">
      <alignment vertical="center"/>
    </xf>
    <xf numFmtId="3" fontId="13" fillId="0" borderId="23" xfId="0" applyNumberFormat="1" applyFont="1" applyBorder="1" applyAlignment="1">
      <alignment vertical="center"/>
    </xf>
    <xf numFmtId="3" fontId="13" fillId="0" borderId="22" xfId="0" applyNumberFormat="1" applyFont="1" applyBorder="1" applyAlignment="1">
      <alignment vertical="center"/>
    </xf>
    <xf numFmtId="10" fontId="13" fillId="0" borderId="25" xfId="0" applyNumberFormat="1" applyFont="1" applyBorder="1" applyAlignment="1">
      <alignment vertical="center"/>
    </xf>
    <xf numFmtId="3" fontId="10" fillId="0" borderId="119" xfId="0" applyNumberFormat="1" applyFont="1" applyBorder="1" applyAlignment="1">
      <alignment vertical="center"/>
    </xf>
    <xf numFmtId="3" fontId="13" fillId="0" borderId="120" xfId="0" applyNumberFormat="1" applyFont="1" applyBorder="1" applyAlignment="1">
      <alignment vertical="center"/>
    </xf>
    <xf numFmtId="3" fontId="13" fillId="0" borderId="112" xfId="0" applyNumberFormat="1" applyFont="1" applyBorder="1" applyAlignment="1">
      <alignment vertical="center"/>
    </xf>
    <xf numFmtId="10" fontId="10" fillId="0" borderId="112" xfId="0" applyNumberFormat="1" applyFont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164" fontId="13" fillId="0" borderId="56" xfId="0" applyNumberFormat="1" applyFont="1" applyBorder="1" applyAlignment="1">
      <alignment vertical="center"/>
    </xf>
    <xf numFmtId="164" fontId="13" fillId="0" borderId="87" xfId="0" applyNumberFormat="1" applyFont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164" fontId="13" fillId="0" borderId="5" xfId="0" applyNumberFormat="1" applyFont="1" applyBorder="1" applyAlignment="1">
      <alignment vertical="center"/>
    </xf>
    <xf numFmtId="3" fontId="13" fillId="0" borderId="7" xfId="0" applyNumberFormat="1" applyFont="1" applyBorder="1" applyAlignment="1">
      <alignment vertical="center"/>
    </xf>
    <xf numFmtId="164" fontId="13" fillId="0" borderId="8" xfId="0" applyNumberFormat="1" applyFont="1" applyBorder="1" applyAlignment="1">
      <alignment vertical="center"/>
    </xf>
    <xf numFmtId="3" fontId="59" fillId="0" borderId="20" xfId="0" applyNumberFormat="1" applyFont="1" applyBorder="1" applyAlignment="1">
      <alignment vertical="center"/>
    </xf>
    <xf numFmtId="3" fontId="13" fillId="0" borderId="78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3" fontId="13" fillId="0" borderId="6" xfId="0" applyNumberFormat="1" applyFont="1" applyBorder="1" applyAlignment="1">
      <alignment vertical="center"/>
    </xf>
    <xf numFmtId="3" fontId="13" fillId="0" borderId="89" xfId="0" applyNumberFormat="1" applyFont="1" applyBorder="1" applyAlignment="1">
      <alignment vertical="center"/>
    </xf>
    <xf numFmtId="3" fontId="10" fillId="0" borderId="96" xfId="0" applyNumberFormat="1" applyFont="1" applyBorder="1" applyAlignment="1">
      <alignment vertical="center"/>
    </xf>
    <xf numFmtId="3" fontId="10" fillId="0" borderId="73" xfId="0" applyNumberFormat="1" applyFont="1" applyBorder="1" applyAlignment="1">
      <alignment vertical="center"/>
    </xf>
    <xf numFmtId="3" fontId="10" fillId="0" borderId="159" xfId="0" applyNumberFormat="1" applyFont="1" applyBorder="1" applyAlignment="1">
      <alignment vertical="center"/>
    </xf>
    <xf numFmtId="3" fontId="10" fillId="0" borderId="134" xfId="0" applyNumberFormat="1" applyFont="1" applyBorder="1" applyAlignment="1">
      <alignment vertical="center"/>
    </xf>
    <xf numFmtId="10" fontId="13" fillId="0" borderId="135" xfId="0" applyNumberFormat="1" applyFont="1" applyBorder="1" applyAlignment="1">
      <alignment vertical="center"/>
    </xf>
    <xf numFmtId="10" fontId="10" fillId="0" borderId="28" xfId="0" applyNumberFormat="1" applyFont="1" applyBorder="1" applyAlignment="1">
      <alignment vertical="center"/>
    </xf>
    <xf numFmtId="10" fontId="10" fillId="0" borderId="50" xfId="0" applyNumberFormat="1" applyFont="1" applyBorder="1" applyAlignment="1">
      <alignment vertical="center"/>
    </xf>
    <xf numFmtId="3" fontId="13" fillId="0" borderId="57" xfId="0" applyNumberFormat="1" applyFont="1" applyBorder="1" applyAlignment="1">
      <alignment vertical="center"/>
    </xf>
    <xf numFmtId="10" fontId="13" fillId="0" borderId="59" xfId="0" applyNumberFormat="1" applyFont="1" applyBorder="1" applyAlignment="1">
      <alignment vertical="center"/>
    </xf>
    <xf numFmtId="10" fontId="13" fillId="0" borderId="52" xfId="0" applyNumberFormat="1" applyFont="1" applyBorder="1" applyAlignment="1">
      <alignment vertical="center"/>
    </xf>
    <xf numFmtId="10" fontId="13" fillId="0" borderId="53" xfId="0" applyNumberFormat="1" applyFont="1" applyBorder="1" applyAlignment="1">
      <alignment vertical="center"/>
    </xf>
    <xf numFmtId="3" fontId="13" fillId="0" borderId="51" xfId="0" applyNumberFormat="1" applyFont="1" applyBorder="1" applyAlignment="1">
      <alignment vertical="center"/>
    </xf>
    <xf numFmtId="3" fontId="13" fillId="0" borderId="58" xfId="0" applyNumberFormat="1" applyFont="1" applyBorder="1" applyAlignment="1">
      <alignment vertical="center"/>
    </xf>
    <xf numFmtId="164" fontId="13" fillId="0" borderId="44" xfId="0" applyNumberFormat="1" applyFont="1" applyBorder="1" applyAlignment="1">
      <alignment vertical="center"/>
    </xf>
    <xf numFmtId="10" fontId="13" fillId="0" borderId="89" xfId="0" applyNumberFormat="1" applyFont="1" applyBorder="1" applyAlignment="1">
      <alignment vertical="center"/>
    </xf>
    <xf numFmtId="3" fontId="59" fillId="0" borderId="54" xfId="0" applyNumberFormat="1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3" fontId="13" fillId="0" borderId="52" xfId="0" applyNumberFormat="1" applyFont="1" applyFill="1" applyBorder="1" applyAlignment="1">
      <alignment vertical="center"/>
    </xf>
    <xf numFmtId="10" fontId="13" fillId="0" borderId="134" xfId="0" applyNumberFormat="1" applyFont="1" applyBorder="1" applyAlignment="1">
      <alignment vertical="center"/>
    </xf>
    <xf numFmtId="0" fontId="10" fillId="0" borderId="78" xfId="0" applyFont="1" applyBorder="1" applyAlignment="1">
      <alignment vertical="center"/>
    </xf>
    <xf numFmtId="10" fontId="10" fillId="0" borderId="121" xfId="0" applyNumberFormat="1" applyFont="1" applyBorder="1" applyAlignment="1">
      <alignment vertical="center"/>
    </xf>
    <xf numFmtId="0" fontId="10" fillId="0" borderId="28" xfId="27" applyFont="1" applyFill="1" applyBorder="1" applyAlignment="1">
      <alignment horizontal="center" vertical="center"/>
      <protection/>
    </xf>
    <xf numFmtId="0" fontId="10" fillId="0" borderId="50" xfId="27" applyFont="1" applyFill="1" applyBorder="1" applyAlignment="1">
      <alignment horizontal="center" vertical="center"/>
      <protection/>
    </xf>
    <xf numFmtId="3" fontId="10" fillId="0" borderId="54" xfId="0" applyNumberFormat="1" applyFont="1" applyBorder="1" applyAlignment="1">
      <alignment vertical="center"/>
    </xf>
    <xf numFmtId="0" fontId="10" fillId="0" borderId="46" xfId="0" applyFont="1" applyBorder="1" applyAlignment="1">
      <alignment vertical="center"/>
    </xf>
    <xf numFmtId="3" fontId="10" fillId="0" borderId="47" xfId="0" applyNumberFormat="1" applyFont="1" applyBorder="1" applyAlignment="1">
      <alignment vertical="center"/>
    </xf>
    <xf numFmtId="3" fontId="13" fillId="0" borderId="28" xfId="0" applyNumberFormat="1" applyFont="1" applyBorder="1" applyAlignment="1">
      <alignment vertical="center"/>
    </xf>
    <xf numFmtId="0" fontId="13" fillId="0" borderId="0" xfId="19" applyFont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3" fillId="0" borderId="0" xfId="19" applyFont="1" applyAlignment="1">
      <alignment horizontal="right" vertical="center"/>
      <protection/>
    </xf>
    <xf numFmtId="0" fontId="13" fillId="0" borderId="54" xfId="19" applyFont="1" applyBorder="1" applyAlignment="1">
      <alignment vertical="center"/>
      <protection/>
    </xf>
    <xf numFmtId="3" fontId="13" fillId="0" borderId="46" xfId="19" applyNumberFormat="1" applyFont="1" applyBorder="1" applyAlignment="1">
      <alignment vertical="center"/>
      <protection/>
    </xf>
    <xf numFmtId="0" fontId="13" fillId="0" borderId="39" xfId="19" applyFont="1" applyBorder="1" applyAlignment="1">
      <alignment vertical="center"/>
      <protection/>
    </xf>
    <xf numFmtId="0" fontId="13" fillId="0" borderId="51" xfId="19" applyFont="1" applyBorder="1" applyAlignment="1">
      <alignment vertical="center"/>
      <protection/>
    </xf>
    <xf numFmtId="3" fontId="13" fillId="0" borderId="5" xfId="19" applyNumberFormat="1" applyFont="1" applyBorder="1" applyAlignment="1">
      <alignment vertical="center"/>
      <protection/>
    </xf>
    <xf numFmtId="4" fontId="13" fillId="0" borderId="5" xfId="19" applyNumberFormat="1" applyFont="1" applyBorder="1" applyAlignment="1">
      <alignment vertical="center"/>
      <protection/>
    </xf>
    <xf numFmtId="10" fontId="13" fillId="0" borderId="5" xfId="19" applyNumberFormat="1" applyFont="1" applyBorder="1" applyAlignment="1">
      <alignment horizontal="right" vertical="center"/>
      <protection/>
    </xf>
    <xf numFmtId="0" fontId="13" fillId="0" borderId="58" xfId="19" applyFont="1" applyBorder="1" applyAlignment="1">
      <alignment vertical="center" wrapText="1"/>
      <protection/>
    </xf>
    <xf numFmtId="0" fontId="17" fillId="0" borderId="0" xfId="19" applyFont="1" applyBorder="1" applyAlignment="1">
      <alignment vertical="center" wrapText="1"/>
      <protection/>
    </xf>
    <xf numFmtId="0" fontId="10" fillId="0" borderId="56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0" fillId="0" borderId="51" xfId="0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3" fontId="10" fillId="0" borderId="5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51" xfId="0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vertical="center"/>
    </xf>
    <xf numFmtId="0" fontId="13" fillId="0" borderId="51" xfId="0" applyFont="1" applyFill="1" applyBorder="1" applyAlignment="1">
      <alignment vertical="center"/>
    </xf>
    <xf numFmtId="3" fontId="13" fillId="0" borderId="5" xfId="0" applyNumberFormat="1" applyFont="1" applyFill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0" fillId="0" borderId="55" xfId="0" applyFont="1" applyBorder="1" applyAlignment="1">
      <alignment vertical="center"/>
    </xf>
    <xf numFmtId="10" fontId="13" fillId="0" borderId="52" xfId="0" applyNumberFormat="1" applyFont="1" applyFill="1" applyBorder="1" applyAlignment="1">
      <alignment vertical="center"/>
    </xf>
    <xf numFmtId="10" fontId="13" fillId="0" borderId="59" xfId="0" applyNumberFormat="1" applyFont="1" applyFill="1" applyBorder="1" applyAlignment="1">
      <alignment vertical="center"/>
    </xf>
    <xf numFmtId="10" fontId="10" fillId="0" borderId="160" xfId="0" applyNumberFormat="1" applyFont="1" applyFill="1" applyBorder="1" applyAlignment="1">
      <alignment vertical="center"/>
    </xf>
    <xf numFmtId="10" fontId="10" fillId="0" borderId="161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" fontId="13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3" fillId="0" borderId="53" xfId="0" applyNumberFormat="1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0" fontId="13" fillId="0" borderId="51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0" fillId="0" borderId="28" xfId="27" applyFont="1" applyFill="1" applyBorder="1" applyAlignment="1">
      <alignment vertical="center" wrapText="1"/>
      <protection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9" xfId="27" applyFont="1" applyFill="1" applyBorder="1" applyAlignment="1">
      <alignment horizontal="center" vertical="center"/>
      <protection/>
    </xf>
    <xf numFmtId="10" fontId="10" fillId="0" borderId="28" xfId="0" applyNumberFormat="1" applyFont="1" applyFill="1" applyBorder="1" applyAlignment="1">
      <alignment vertical="center"/>
    </xf>
    <xf numFmtId="10" fontId="10" fillId="0" borderId="5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46" xfId="27" applyFont="1" applyFill="1" applyBorder="1" applyAlignment="1">
      <alignment vertical="center"/>
      <protection/>
    </xf>
    <xf numFmtId="0" fontId="13" fillId="0" borderId="5" xfId="27" applyFont="1" applyFill="1" applyBorder="1" applyAlignment="1">
      <alignment vertical="center"/>
      <protection/>
    </xf>
    <xf numFmtId="0" fontId="13" fillId="0" borderId="64" xfId="0" applyFont="1" applyBorder="1" applyAlignment="1">
      <alignment horizontal="center" vertical="center"/>
    </xf>
    <xf numFmtId="0" fontId="13" fillId="0" borderId="22" xfId="27" applyFont="1" applyFill="1" applyBorder="1" applyAlignment="1">
      <alignment vertical="center"/>
      <protection/>
    </xf>
    <xf numFmtId="3" fontId="13" fillId="0" borderId="135" xfId="0" applyNumberFormat="1" applyFont="1" applyFill="1" applyBorder="1" applyAlignment="1">
      <alignment vertical="center"/>
    </xf>
    <xf numFmtId="0" fontId="10" fillId="0" borderId="5" xfId="27" applyFont="1" applyFill="1" applyBorder="1" applyAlignment="1">
      <alignment vertical="center" wrapText="1"/>
      <protection/>
    </xf>
    <xf numFmtId="3" fontId="13" fillId="0" borderId="5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3" fillId="0" borderId="20" xfId="27" applyFont="1" applyFill="1" applyBorder="1" applyAlignment="1">
      <alignment vertical="center"/>
      <protection/>
    </xf>
    <xf numFmtId="0" fontId="13" fillId="0" borderId="4" xfId="27" applyFont="1" applyFill="1" applyBorder="1" applyAlignment="1">
      <alignment vertical="center"/>
      <protection/>
    </xf>
    <xf numFmtId="0" fontId="13" fillId="0" borderId="19" xfId="27" applyFont="1" applyFill="1" applyBorder="1" applyAlignment="1">
      <alignment vertical="center"/>
      <protection/>
    </xf>
    <xf numFmtId="0" fontId="13" fillId="0" borderId="0" xfId="27" applyFont="1" applyFill="1" applyBorder="1" applyAlignment="1">
      <alignment vertical="center"/>
      <protection/>
    </xf>
    <xf numFmtId="0" fontId="13" fillId="0" borderId="13" xfId="24" applyFont="1" applyBorder="1" applyAlignment="1">
      <alignment vertical="center"/>
      <protection/>
    </xf>
    <xf numFmtId="9" fontId="13" fillId="0" borderId="13" xfId="24" applyNumberFormat="1" applyFont="1" applyBorder="1" applyAlignment="1">
      <alignment vertical="center"/>
      <protection/>
    </xf>
    <xf numFmtId="3" fontId="10" fillId="0" borderId="13" xfId="24" applyNumberFormat="1" applyFont="1" applyBorder="1" applyAlignment="1">
      <alignment vertical="center"/>
      <protection/>
    </xf>
    <xf numFmtId="3" fontId="13" fillId="0" borderId="13" xfId="24" applyNumberFormat="1" applyFont="1" applyBorder="1" applyAlignment="1">
      <alignment vertical="center"/>
      <protection/>
    </xf>
    <xf numFmtId="0" fontId="13" fillId="0" borderId="162" xfId="24" applyFont="1" applyBorder="1" applyAlignment="1">
      <alignment vertical="center"/>
      <protection/>
    </xf>
    <xf numFmtId="0" fontId="13" fillId="0" borderId="162" xfId="24" applyFont="1" applyBorder="1" applyAlignment="1">
      <alignment/>
      <protection/>
    </xf>
    <xf numFmtId="0" fontId="13" fillId="0" borderId="163" xfId="24" applyFont="1" applyBorder="1" applyAlignment="1">
      <alignment/>
      <protection/>
    </xf>
    <xf numFmtId="3" fontId="13" fillId="0" borderId="54" xfId="0" applyNumberFormat="1" applyFont="1" applyBorder="1" applyAlignment="1">
      <alignment vertical="center"/>
    </xf>
    <xf numFmtId="3" fontId="13" fillId="0" borderId="64" xfId="0" applyNumberFormat="1" applyFont="1" applyBorder="1" applyAlignment="1">
      <alignment vertical="center"/>
    </xf>
    <xf numFmtId="0" fontId="13" fillId="0" borderId="64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164" fontId="13" fillId="0" borderId="46" xfId="0" applyNumberFormat="1" applyFont="1" applyBorder="1" applyAlignment="1">
      <alignment vertical="center"/>
    </xf>
    <xf numFmtId="164" fontId="13" fillId="0" borderId="135" xfId="0" applyNumberFormat="1" applyFont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53" xfId="0" applyFont="1" applyFill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3" fontId="13" fillId="0" borderId="0" xfId="0" applyNumberFormat="1" applyFont="1" applyAlignment="1">
      <alignment vertical="center" wrapText="1"/>
    </xf>
    <xf numFmtId="0" fontId="25" fillId="0" borderId="44" xfId="0" applyFont="1" applyBorder="1" applyAlignment="1">
      <alignment horizontal="center" vertical="center"/>
    </xf>
    <xf numFmtId="165" fontId="13" fillId="0" borderId="46" xfId="0" applyNumberFormat="1" applyFont="1" applyBorder="1" applyAlignment="1">
      <alignment vertical="center"/>
    </xf>
    <xf numFmtId="165" fontId="13" fillId="0" borderId="5" xfId="0" applyNumberFormat="1" applyFont="1" applyBorder="1" applyAlignment="1">
      <alignment vertical="center"/>
    </xf>
    <xf numFmtId="0" fontId="13" fillId="0" borderId="51" xfId="0" applyFont="1" applyFill="1" applyBorder="1" applyAlignment="1">
      <alignment horizontal="center" vertical="center"/>
    </xf>
    <xf numFmtId="165" fontId="13" fillId="0" borderId="0" xfId="0" applyNumberFormat="1" applyFont="1" applyAlignment="1">
      <alignment vertical="center"/>
    </xf>
    <xf numFmtId="0" fontId="13" fillId="0" borderId="58" xfId="0" applyFont="1" applyFill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14" fontId="10" fillId="0" borderId="103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164" xfId="0" applyFont="1" applyBorder="1" applyAlignment="1">
      <alignment horizontal="left" vertical="center"/>
    </xf>
    <xf numFmtId="0" fontId="13" fillId="0" borderId="139" xfId="0" applyFont="1" applyBorder="1" applyAlignment="1">
      <alignment horizontal="left" vertical="center"/>
    </xf>
    <xf numFmtId="3" fontId="13" fillId="0" borderId="165" xfId="21" applyNumberFormat="1" applyFont="1" applyBorder="1" applyAlignment="1">
      <alignment vertical="center"/>
      <protection/>
    </xf>
    <xf numFmtId="0" fontId="13" fillId="5" borderId="0" xfId="0" applyFont="1" applyFill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103" xfId="0" applyFont="1" applyBorder="1" applyAlignment="1">
      <alignment vertical="center"/>
    </xf>
    <xf numFmtId="167" fontId="13" fillId="0" borderId="46" xfId="0" applyNumberFormat="1" applyFont="1" applyBorder="1" applyAlignment="1">
      <alignment vertical="center"/>
    </xf>
    <xf numFmtId="167" fontId="13" fillId="0" borderId="135" xfId="0" applyNumberFormat="1" applyFont="1" applyBorder="1" applyAlignment="1">
      <alignment vertical="center"/>
    </xf>
    <xf numFmtId="167" fontId="13" fillId="0" borderId="5" xfId="0" applyNumberFormat="1" applyFont="1" applyBorder="1" applyAlignment="1">
      <alignment vertical="center"/>
    </xf>
    <xf numFmtId="167" fontId="13" fillId="0" borderId="52" xfId="0" applyNumberFormat="1" applyFont="1" applyBorder="1" applyAlignment="1">
      <alignment vertical="center"/>
    </xf>
    <xf numFmtId="167" fontId="13" fillId="0" borderId="5" xfId="0" applyNumberFormat="1" applyFont="1" applyFill="1" applyBorder="1" applyAlignment="1">
      <alignment vertical="center"/>
    </xf>
    <xf numFmtId="167" fontId="13" fillId="0" borderId="44" xfId="0" applyNumberFormat="1" applyFont="1" applyBorder="1" applyAlignment="1">
      <alignment vertical="center"/>
    </xf>
    <xf numFmtId="167" fontId="13" fillId="0" borderId="44" xfId="0" applyNumberFormat="1" applyFont="1" applyFill="1" applyBorder="1" applyAlignment="1">
      <alignment vertical="center"/>
    </xf>
    <xf numFmtId="167" fontId="13" fillId="0" borderId="59" xfId="0" applyNumberFormat="1" applyFont="1" applyFill="1" applyBorder="1" applyAlignment="1">
      <alignment vertical="center"/>
    </xf>
    <xf numFmtId="0" fontId="10" fillId="0" borderId="44" xfId="24" applyFont="1" applyBorder="1" applyAlignment="1">
      <alignment horizontal="center" vertical="center"/>
      <protection/>
    </xf>
    <xf numFmtId="0" fontId="13" fillId="0" borderId="46" xfId="24" applyFont="1" applyBorder="1" applyAlignment="1">
      <alignment vertical="center"/>
      <protection/>
    </xf>
    <xf numFmtId="0" fontId="13" fillId="0" borderId="67" xfId="24" applyFont="1" applyBorder="1" applyAlignment="1">
      <alignment vertical="center"/>
      <protection/>
    </xf>
    <xf numFmtId="0" fontId="10" fillId="0" borderId="94" xfId="24" applyFont="1" applyFill="1" applyBorder="1" applyAlignment="1">
      <alignment horizontal="center" vertical="center" wrapText="1" shrinkToFit="1"/>
      <protection/>
    </xf>
    <xf numFmtId="0" fontId="10" fillId="0" borderId="66" xfId="24" applyFont="1" applyBorder="1" applyAlignment="1">
      <alignment horizontal="center" vertical="center"/>
      <protection/>
    </xf>
    <xf numFmtId="3" fontId="10" fillId="0" borderId="0" xfId="0" applyNumberFormat="1" applyFont="1" applyFill="1" applyAlignment="1">
      <alignment vertical="center"/>
    </xf>
    <xf numFmtId="0" fontId="10" fillId="0" borderId="66" xfId="27" applyFont="1" applyFill="1" applyBorder="1" applyAlignment="1">
      <alignment horizontal="center" vertical="center"/>
      <protection/>
    </xf>
    <xf numFmtId="0" fontId="66" fillId="0" borderId="0" xfId="24" applyFont="1" applyAlignment="1">
      <alignment vertical="center"/>
      <protection/>
    </xf>
    <xf numFmtId="0" fontId="13" fillId="0" borderId="135" xfId="24" applyFont="1" applyFill="1" applyBorder="1" applyAlignment="1">
      <alignment vertical="center"/>
      <protection/>
    </xf>
    <xf numFmtId="9" fontId="13" fillId="0" borderId="52" xfId="24" applyNumberFormat="1" applyFont="1" applyFill="1" applyBorder="1" applyAlignment="1">
      <alignment vertical="center"/>
      <protection/>
    </xf>
    <xf numFmtId="0" fontId="13" fillId="0" borderId="52" xfId="24" applyFont="1" applyFill="1" applyBorder="1" applyAlignment="1">
      <alignment vertical="center"/>
      <protection/>
    </xf>
    <xf numFmtId="3" fontId="10" fillId="0" borderId="52" xfId="24" applyNumberFormat="1" applyFont="1" applyFill="1" applyBorder="1" applyAlignment="1">
      <alignment vertical="center"/>
      <protection/>
    </xf>
    <xf numFmtId="3" fontId="13" fillId="0" borderId="52" xfId="24" applyNumberFormat="1" applyFont="1" applyFill="1" applyBorder="1" applyAlignment="1">
      <alignment vertical="center"/>
      <protection/>
    </xf>
    <xf numFmtId="0" fontId="10" fillId="0" borderId="85" xfId="24" applyFont="1" applyBorder="1" applyAlignment="1">
      <alignment vertical="center" wrapText="1"/>
      <protection/>
    </xf>
    <xf numFmtId="0" fontId="13" fillId="0" borderId="56" xfId="24" applyFont="1" applyBorder="1" applyAlignment="1">
      <alignment vertical="center"/>
      <protection/>
    </xf>
    <xf numFmtId="164" fontId="13" fillId="0" borderId="0" xfId="19" applyNumberFormat="1" applyFont="1" applyFill="1" applyAlignment="1">
      <alignment vertical="center"/>
      <protection/>
    </xf>
    <xf numFmtId="3" fontId="10" fillId="0" borderId="5" xfId="0" applyNumberFormat="1" applyFont="1" applyFill="1" applyBorder="1" applyAlignment="1">
      <alignment vertical="center"/>
    </xf>
    <xf numFmtId="3" fontId="13" fillId="0" borderId="13" xfId="24" applyNumberFormat="1" applyFont="1" applyFill="1" applyBorder="1" applyAlignment="1">
      <alignment vertical="center"/>
      <protection/>
    </xf>
    <xf numFmtId="3" fontId="13" fillId="0" borderId="5" xfId="24" applyNumberFormat="1" applyFont="1" applyFill="1" applyBorder="1" applyAlignment="1">
      <alignment vertical="center"/>
      <protection/>
    </xf>
    <xf numFmtId="3" fontId="13" fillId="0" borderId="66" xfId="24" applyNumberFormat="1" applyFont="1" applyFill="1" applyBorder="1" applyAlignment="1">
      <alignment vertical="center"/>
      <protection/>
    </xf>
    <xf numFmtId="3" fontId="13" fillId="0" borderId="44" xfId="24" applyNumberFormat="1" applyFont="1" applyFill="1" applyBorder="1" applyAlignment="1">
      <alignment vertical="center"/>
      <protection/>
    </xf>
    <xf numFmtId="0" fontId="13" fillId="0" borderId="52" xfId="24" applyFont="1" applyBorder="1" applyAlignment="1">
      <alignment horizontal="right" vertical="center"/>
      <protection/>
    </xf>
    <xf numFmtId="180" fontId="13" fillId="0" borderId="5" xfId="24" applyNumberFormat="1" applyFont="1" applyBorder="1" applyAlignment="1">
      <alignment vertical="center"/>
      <protection/>
    </xf>
    <xf numFmtId="167" fontId="10" fillId="0" borderId="44" xfId="27" applyNumberFormat="1" applyFont="1" applyFill="1" applyBorder="1" applyAlignment="1">
      <alignment horizontal="center" vertical="center"/>
      <protection/>
    </xf>
    <xf numFmtId="167" fontId="13" fillId="0" borderId="46" xfId="27" applyNumberFormat="1" applyFont="1" applyFill="1" applyBorder="1" applyAlignment="1">
      <alignment vertical="center"/>
      <protection/>
    </xf>
    <xf numFmtId="167" fontId="13" fillId="0" borderId="46" xfId="27" applyNumberFormat="1" applyFont="1" applyFill="1" applyBorder="1" applyAlignment="1">
      <alignment horizontal="right" vertical="center"/>
      <protection/>
    </xf>
    <xf numFmtId="167" fontId="13" fillId="0" borderId="135" xfId="27" applyNumberFormat="1" applyFont="1" applyFill="1" applyBorder="1" applyAlignment="1">
      <alignment vertical="center"/>
      <protection/>
    </xf>
    <xf numFmtId="167" fontId="13" fillId="0" borderId="5" xfId="27" applyNumberFormat="1" applyFont="1" applyFill="1" applyBorder="1" applyAlignment="1">
      <alignment vertical="center"/>
      <protection/>
    </xf>
    <xf numFmtId="167" fontId="13" fillId="0" borderId="5" xfId="27" applyNumberFormat="1" applyFont="1" applyFill="1" applyBorder="1" applyAlignment="1">
      <alignment horizontal="right" vertical="center"/>
      <protection/>
    </xf>
    <xf numFmtId="167" fontId="13" fillId="0" borderId="52" xfId="27" applyNumberFormat="1" applyFont="1" applyFill="1" applyBorder="1" applyAlignment="1">
      <alignment vertical="center"/>
      <protection/>
    </xf>
    <xf numFmtId="167" fontId="13" fillId="0" borderId="22" xfId="27" applyNumberFormat="1" applyFont="1" applyFill="1" applyBorder="1" applyAlignment="1">
      <alignment vertical="center"/>
      <protection/>
    </xf>
    <xf numFmtId="167" fontId="13" fillId="0" borderId="53" xfId="27" applyNumberFormat="1" applyFont="1" applyFill="1" applyBorder="1" applyAlignment="1">
      <alignment vertical="center"/>
      <protection/>
    </xf>
    <xf numFmtId="167" fontId="10" fillId="0" borderId="28" xfId="27" applyNumberFormat="1" applyFont="1" applyFill="1" applyBorder="1" applyAlignment="1">
      <alignment vertical="center"/>
      <protection/>
    </xf>
    <xf numFmtId="167" fontId="10" fillId="0" borderId="50" xfId="27" applyNumberFormat="1" applyFont="1" applyFill="1" applyBorder="1" applyAlignment="1">
      <alignment vertical="center"/>
      <protection/>
    </xf>
    <xf numFmtId="167" fontId="13" fillId="0" borderId="46" xfId="0" applyNumberFormat="1" applyFont="1" applyFill="1" applyBorder="1" applyAlignment="1">
      <alignment vertical="center"/>
    </xf>
    <xf numFmtId="167" fontId="13" fillId="0" borderId="135" xfId="0" applyNumberFormat="1" applyFont="1" applyFill="1" applyBorder="1" applyAlignment="1">
      <alignment vertical="center"/>
    </xf>
    <xf numFmtId="167" fontId="10" fillId="0" borderId="5" xfId="27" applyNumberFormat="1" applyFont="1" applyFill="1" applyBorder="1" applyAlignment="1">
      <alignment vertical="center"/>
      <protection/>
    </xf>
    <xf numFmtId="167" fontId="10" fillId="0" borderId="52" xfId="27" applyNumberFormat="1" applyFont="1" applyFill="1" applyBorder="1" applyAlignment="1">
      <alignment vertical="center"/>
      <protection/>
    </xf>
    <xf numFmtId="167" fontId="13" fillId="0" borderId="52" xfId="0" applyNumberFormat="1" applyFont="1" applyFill="1" applyBorder="1" applyAlignment="1">
      <alignment vertical="center"/>
    </xf>
    <xf numFmtId="167" fontId="13" fillId="0" borderId="22" xfId="27" applyNumberFormat="1" applyFont="1" applyFill="1" applyBorder="1" applyAlignment="1">
      <alignment horizontal="right" vertical="center"/>
      <protection/>
    </xf>
    <xf numFmtId="167" fontId="13" fillId="0" borderId="22" xfId="0" applyNumberFormat="1" applyFont="1" applyFill="1" applyBorder="1" applyAlignment="1">
      <alignment vertical="center"/>
    </xf>
    <xf numFmtId="167" fontId="13" fillId="0" borderId="53" xfId="0" applyNumberFormat="1" applyFont="1" applyFill="1" applyBorder="1" applyAlignment="1">
      <alignment vertical="center"/>
    </xf>
    <xf numFmtId="167" fontId="10" fillId="0" borderId="28" xfId="27" applyNumberFormat="1" applyFont="1" applyFill="1" applyBorder="1" applyAlignment="1">
      <alignment horizontal="right" vertical="center"/>
      <protection/>
    </xf>
    <xf numFmtId="167" fontId="10" fillId="0" borderId="50" xfId="27" applyNumberFormat="1" applyFont="1" applyFill="1" applyBorder="1" applyAlignment="1">
      <alignment horizontal="right" vertical="center"/>
      <protection/>
    </xf>
    <xf numFmtId="0" fontId="10" fillId="0" borderId="51" xfId="0" applyFont="1" applyBorder="1" applyAlignment="1">
      <alignment horizontal="center" vertical="center"/>
    </xf>
    <xf numFmtId="0" fontId="13" fillId="0" borderId="51" xfId="19" applyFont="1" applyFill="1" applyBorder="1" applyAlignment="1">
      <alignment vertical="center"/>
      <protection/>
    </xf>
    <xf numFmtId="3" fontId="13" fillId="0" borderId="5" xfId="19" applyNumberFormat="1" applyFont="1" applyFill="1" applyBorder="1" applyAlignment="1">
      <alignment vertical="center"/>
      <protection/>
    </xf>
    <xf numFmtId="0" fontId="10" fillId="0" borderId="44" xfId="24" applyFont="1" applyFill="1" applyBorder="1" applyAlignment="1">
      <alignment horizontal="center" vertical="center"/>
      <protection/>
    </xf>
    <xf numFmtId="0" fontId="10" fillId="0" borderId="64" xfId="0" applyFont="1" applyBorder="1" applyAlignment="1">
      <alignment vertical="center"/>
    </xf>
    <xf numFmtId="0" fontId="10" fillId="0" borderId="50" xfId="19" applyFont="1" applyBorder="1" applyAlignment="1">
      <alignment horizontal="center" vertical="center" wrapText="1"/>
      <protection/>
    </xf>
    <xf numFmtId="3" fontId="13" fillId="0" borderId="135" xfId="19" applyNumberFormat="1" applyFont="1" applyBorder="1" applyAlignment="1">
      <alignment vertical="center"/>
      <protection/>
    </xf>
    <xf numFmtId="3" fontId="13" fillId="0" borderId="52" xfId="19" applyNumberFormat="1" applyFont="1" applyBorder="1" applyAlignment="1">
      <alignment vertical="center"/>
      <protection/>
    </xf>
    <xf numFmtId="4" fontId="13" fillId="0" borderId="52" xfId="19" applyNumberFormat="1" applyFont="1" applyBorder="1" applyAlignment="1">
      <alignment vertical="center"/>
      <protection/>
    </xf>
    <xf numFmtId="10" fontId="13" fillId="0" borderId="52" xfId="19" applyNumberFormat="1" applyFont="1" applyBorder="1" applyAlignment="1">
      <alignment horizontal="right" vertical="center"/>
      <protection/>
    </xf>
    <xf numFmtId="3" fontId="13" fillId="0" borderId="52" xfId="19" applyNumberFormat="1" applyFont="1" applyFill="1" applyBorder="1" applyAlignment="1">
      <alignment vertical="center"/>
      <protection/>
    </xf>
    <xf numFmtId="164" fontId="13" fillId="0" borderId="44" xfId="19" applyNumberFormat="1" applyFont="1" applyBorder="1" applyAlignment="1">
      <alignment vertical="center"/>
      <protection/>
    </xf>
    <xf numFmtId="164" fontId="13" fillId="0" borderId="59" xfId="19" applyNumberFormat="1" applyFont="1" applyBorder="1" applyAlignment="1">
      <alignment vertical="center"/>
      <protection/>
    </xf>
    <xf numFmtId="0" fontId="13" fillId="0" borderId="46" xfId="24" applyFont="1" applyFill="1" applyBorder="1" applyAlignment="1">
      <alignment vertical="center"/>
      <protection/>
    </xf>
    <xf numFmtId="9" fontId="13" fillId="0" borderId="5" xfId="24" applyNumberFormat="1" applyFont="1" applyFill="1" applyBorder="1" applyAlignment="1">
      <alignment vertical="center"/>
      <protection/>
    </xf>
    <xf numFmtId="0" fontId="13" fillId="0" borderId="5" xfId="24" applyFont="1" applyFill="1" applyBorder="1" applyAlignment="1">
      <alignment vertical="center"/>
      <protection/>
    </xf>
    <xf numFmtId="3" fontId="10" fillId="0" borderId="5" xfId="24" applyNumberFormat="1" applyFont="1" applyFill="1" applyBorder="1" applyAlignment="1">
      <alignment vertical="center"/>
      <protection/>
    </xf>
    <xf numFmtId="164" fontId="10" fillId="0" borderId="5" xfId="0" applyNumberFormat="1" applyFont="1" applyBorder="1" applyAlignment="1">
      <alignment vertical="center"/>
    </xf>
    <xf numFmtId="164" fontId="10" fillId="0" borderId="28" xfId="0" applyNumberFormat="1" applyFont="1" applyBorder="1" applyAlignment="1">
      <alignment vertical="center"/>
    </xf>
    <xf numFmtId="3" fontId="13" fillId="0" borderId="59" xfId="24" applyNumberFormat="1" applyFont="1" applyFill="1" applyBorder="1" applyAlignment="1">
      <alignment vertical="center"/>
      <protection/>
    </xf>
    <xf numFmtId="3" fontId="13" fillId="0" borderId="42" xfId="23" applyNumberFormat="1" applyFont="1" applyBorder="1" applyAlignment="1">
      <alignment horizontal="center" vertical="center" wrapText="1"/>
      <protection/>
    </xf>
    <xf numFmtId="3" fontId="13" fillId="0" borderId="112" xfId="23" applyNumberFormat="1" applyFont="1" applyBorder="1" applyAlignment="1">
      <alignment horizontal="center" vertical="center" wrapText="1"/>
      <protection/>
    </xf>
    <xf numFmtId="3" fontId="13" fillId="0" borderId="101" xfId="23" applyNumberFormat="1" applyFont="1" applyBorder="1" applyAlignment="1">
      <alignment horizontal="center" vertical="center"/>
      <protection/>
    </xf>
    <xf numFmtId="3" fontId="19" fillId="0" borderId="0" xfId="23" applyNumberFormat="1" applyFont="1" applyBorder="1" applyAlignment="1">
      <alignment horizontal="center" wrapText="1"/>
      <protection/>
    </xf>
    <xf numFmtId="3" fontId="19" fillId="0" borderId="0" xfId="30" applyNumberFormat="1" applyFont="1" applyFill="1" applyBorder="1" applyAlignment="1">
      <alignment horizontal="center" vertical="center"/>
      <protection/>
    </xf>
    <xf numFmtId="3" fontId="13" fillId="0" borderId="124" xfId="23" applyNumberFormat="1" applyFont="1" applyBorder="1" applyAlignment="1">
      <alignment horizontal="center" vertical="center" wrapText="1"/>
      <protection/>
    </xf>
    <xf numFmtId="3" fontId="13" fillId="0" borderId="121" xfId="23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0" fillId="0" borderId="56" xfId="27" applyFont="1" applyFill="1" applyBorder="1" applyAlignment="1">
      <alignment horizontal="center" vertical="center"/>
      <protection/>
    </xf>
    <xf numFmtId="0" fontId="10" fillId="0" borderId="44" xfId="0" applyFont="1" applyBorder="1" applyAlignment="1">
      <alignment horizontal="center" vertical="center"/>
    </xf>
    <xf numFmtId="167" fontId="10" fillId="0" borderId="56" xfId="0" applyNumberFormat="1" applyFont="1" applyFill="1" applyBorder="1" applyAlignment="1">
      <alignment horizontal="center" vertical="center" wrapText="1"/>
    </xf>
    <xf numFmtId="167" fontId="13" fillId="0" borderId="44" xfId="0" applyNumberFormat="1" applyFont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39" xfId="24" applyFont="1" applyBorder="1" applyAlignment="1">
      <alignment horizontal="center" vertical="center"/>
      <protection/>
    </xf>
    <xf numFmtId="0" fontId="13" fillId="0" borderId="166" xfId="24" applyFont="1" applyBorder="1" applyAlignment="1">
      <alignment horizontal="center" vertical="center"/>
      <protection/>
    </xf>
    <xf numFmtId="0" fontId="13" fillId="0" borderId="167" xfId="24" applyFont="1" applyBorder="1" applyAlignment="1">
      <alignment vertical="center"/>
      <protection/>
    </xf>
    <xf numFmtId="0" fontId="13" fillId="0" borderId="94" xfId="24" applyFont="1" applyBorder="1" applyAlignment="1">
      <alignment vertical="center"/>
      <protection/>
    </xf>
    <xf numFmtId="167" fontId="10" fillId="0" borderId="57" xfId="0" applyNumberFormat="1" applyFont="1" applyFill="1" applyBorder="1" applyAlignment="1">
      <alignment horizontal="center" vertical="center" wrapText="1"/>
    </xf>
    <xf numFmtId="167" fontId="13" fillId="0" borderId="59" xfId="0" applyNumberFormat="1" applyFont="1" applyBorder="1" applyAlignment="1">
      <alignment horizontal="center" vertical="center" wrapText="1"/>
    </xf>
    <xf numFmtId="167" fontId="10" fillId="0" borderId="65" xfId="27" applyNumberFormat="1" applyFont="1" applyFill="1" applyBorder="1" applyAlignment="1">
      <alignment horizontal="center" vertical="center"/>
      <protection/>
    </xf>
    <xf numFmtId="167" fontId="10" fillId="0" borderId="32" xfId="27" applyNumberFormat="1" applyFont="1" applyFill="1" applyBorder="1" applyAlignment="1">
      <alignment horizontal="center" vertical="center"/>
      <protection/>
    </xf>
    <xf numFmtId="167" fontId="10" fillId="0" borderId="93" xfId="27" applyNumberFormat="1" applyFont="1" applyFill="1" applyBorder="1" applyAlignment="1">
      <alignment horizontal="center" vertical="center"/>
      <protection/>
    </xf>
    <xf numFmtId="0" fontId="13" fillId="0" borderId="14" xfId="24" applyFont="1" applyBorder="1" applyAlignment="1">
      <alignment horizontal="left" vertical="center"/>
      <protection/>
    </xf>
    <xf numFmtId="0" fontId="13" fillId="0" borderId="1" xfId="24" applyFont="1" applyBorder="1" applyAlignment="1">
      <alignment horizontal="left" vertical="center"/>
      <protection/>
    </xf>
    <xf numFmtId="0" fontId="18" fillId="0" borderId="0" xfId="24" applyFont="1" applyAlignment="1">
      <alignment horizontal="center" vertical="center"/>
      <protection/>
    </xf>
    <xf numFmtId="0" fontId="10" fillId="0" borderId="56" xfId="24" applyFont="1" applyBorder="1" applyAlignment="1">
      <alignment horizontal="center" vertical="center" wrapText="1"/>
      <protection/>
    </xf>
    <xf numFmtId="0" fontId="10" fillId="0" borderId="44" xfId="24" applyFont="1" applyBorder="1" applyAlignment="1">
      <alignment horizontal="center" vertical="center" wrapText="1"/>
      <protection/>
    </xf>
    <xf numFmtId="0" fontId="10" fillId="0" borderId="57" xfId="24" applyFont="1" applyBorder="1" applyAlignment="1">
      <alignment horizontal="center" vertical="center" wrapText="1"/>
      <protection/>
    </xf>
    <xf numFmtId="0" fontId="10" fillId="0" borderId="59" xfId="24" applyFont="1" applyBorder="1" applyAlignment="1">
      <alignment horizontal="center" vertical="center" wrapText="1"/>
      <protection/>
    </xf>
    <xf numFmtId="0" fontId="18" fillId="0" borderId="65" xfId="24" applyFont="1" applyBorder="1" applyAlignment="1">
      <alignment horizontal="center" vertical="center"/>
      <protection/>
    </xf>
    <xf numFmtId="0" fontId="18" fillId="0" borderId="32" xfId="24" applyFont="1" applyBorder="1" applyAlignment="1">
      <alignment horizontal="center" vertical="center"/>
      <protection/>
    </xf>
    <xf numFmtId="0" fontId="18" fillId="0" borderId="93" xfId="24" applyFont="1" applyBorder="1" applyAlignment="1">
      <alignment horizontal="center" vertical="center"/>
      <protection/>
    </xf>
    <xf numFmtId="0" fontId="13" fillId="0" borderId="5" xfId="24" applyFont="1" applyBorder="1" applyAlignment="1">
      <alignment vertical="center"/>
      <protection/>
    </xf>
    <xf numFmtId="0" fontId="13" fillId="0" borderId="52" xfId="24" applyFont="1" applyBorder="1" applyAlignment="1">
      <alignment vertical="center"/>
      <protection/>
    </xf>
    <xf numFmtId="0" fontId="10" fillId="0" borderId="58" xfId="24" applyFont="1" applyBorder="1" applyAlignment="1">
      <alignment horizontal="center" vertical="center"/>
      <protection/>
    </xf>
    <xf numFmtId="0" fontId="10" fillId="0" borderId="44" xfId="24" applyFont="1" applyBorder="1" applyAlignment="1">
      <alignment horizontal="center" vertical="center"/>
      <protection/>
    </xf>
    <xf numFmtId="0" fontId="10" fillId="0" borderId="54" xfId="24" applyFont="1" applyBorder="1" applyAlignment="1">
      <alignment vertical="center"/>
      <protection/>
    </xf>
    <xf numFmtId="0" fontId="10" fillId="0" borderId="46" xfId="24" applyFont="1" applyBorder="1" applyAlignment="1">
      <alignment vertical="center"/>
      <protection/>
    </xf>
    <xf numFmtId="0" fontId="13" fillId="0" borderId="14" xfId="24" applyFont="1" applyBorder="1" applyAlignment="1">
      <alignment vertical="center"/>
      <protection/>
    </xf>
    <xf numFmtId="0" fontId="13" fillId="0" borderId="1" xfId="24" applyFont="1" applyBorder="1" applyAlignment="1">
      <alignment vertical="center"/>
      <protection/>
    </xf>
    <xf numFmtId="0" fontId="10" fillId="0" borderId="55" xfId="24" applyFont="1" applyBorder="1" applyAlignment="1">
      <alignment horizontal="center" vertical="center"/>
      <protection/>
    </xf>
    <xf numFmtId="0" fontId="10" fillId="0" borderId="56" xfId="24" applyFont="1" applyBorder="1" applyAlignment="1">
      <alignment horizontal="center" vertical="center"/>
      <protection/>
    </xf>
    <xf numFmtId="0" fontId="10" fillId="0" borderId="51" xfId="24" applyFont="1" applyBorder="1" applyAlignment="1">
      <alignment vertical="center"/>
      <protection/>
    </xf>
    <xf numFmtId="0" fontId="10" fillId="0" borderId="5" xfId="24" applyFont="1" applyBorder="1" applyAlignment="1">
      <alignment vertical="center"/>
      <protection/>
    </xf>
    <xf numFmtId="0" fontId="10" fillId="0" borderId="0" xfId="19" applyFont="1" applyFill="1" applyAlignment="1">
      <alignment horizontal="center" vertical="center" wrapText="1"/>
      <protection/>
    </xf>
    <xf numFmtId="0" fontId="10" fillId="0" borderId="32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168" xfId="0" applyFont="1" applyBorder="1" applyAlignment="1">
      <alignment horizontal="center" vertical="center" wrapText="1"/>
    </xf>
    <xf numFmtId="0" fontId="10" fillId="0" borderId="160" xfId="0" applyFont="1" applyBorder="1" applyAlignment="1">
      <alignment horizontal="center" vertical="center" wrapText="1"/>
    </xf>
    <xf numFmtId="0" fontId="10" fillId="0" borderId="169" xfId="0" applyFont="1" applyBorder="1" applyAlignment="1">
      <alignment horizontal="center" vertical="center" wrapText="1"/>
    </xf>
    <xf numFmtId="0" fontId="10" fillId="0" borderId="170" xfId="0" applyFont="1" applyBorder="1" applyAlignment="1">
      <alignment vertical="center" wrapText="1"/>
    </xf>
    <xf numFmtId="0" fontId="10" fillId="0" borderId="55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13" fillId="0" borderId="123" xfId="23" applyNumberFormat="1" applyFont="1" applyBorder="1" applyAlignment="1">
      <alignment horizontal="center" vertical="center"/>
      <protection/>
    </xf>
    <xf numFmtId="3" fontId="13" fillId="0" borderId="119" xfId="23" applyNumberFormat="1" applyFont="1" applyBorder="1" applyAlignment="1">
      <alignment horizontal="center" vertical="center"/>
      <protection/>
    </xf>
    <xf numFmtId="3" fontId="10" fillId="0" borderId="102" xfId="23" applyNumberFormat="1" applyFont="1" applyBorder="1" applyAlignment="1">
      <alignment horizontal="center"/>
      <protection/>
    </xf>
    <xf numFmtId="0" fontId="0" fillId="0" borderId="68" xfId="0" applyBorder="1" applyAlignment="1">
      <alignment horizontal="center" vertical="center" textRotation="90" wrapText="1"/>
    </xf>
    <xf numFmtId="0" fontId="0" fillId="0" borderId="68" xfId="0" applyBorder="1" applyAlignment="1">
      <alignment horizontal="center" vertical="center" textRotation="90"/>
    </xf>
    <xf numFmtId="3" fontId="10" fillId="0" borderId="171" xfId="23" applyNumberFormat="1" applyFont="1" applyBorder="1" applyAlignment="1">
      <alignment horizontal="center"/>
      <protection/>
    </xf>
    <xf numFmtId="3" fontId="10" fillId="0" borderId="172" xfId="23" applyNumberFormat="1" applyFont="1" applyBorder="1" applyAlignment="1">
      <alignment horizontal="center"/>
      <protection/>
    </xf>
    <xf numFmtId="3" fontId="10" fillId="0" borderId="122" xfId="23" applyNumberFormat="1" applyFont="1" applyBorder="1" applyAlignment="1">
      <alignment horizontal="center"/>
      <protection/>
    </xf>
    <xf numFmtId="3" fontId="13" fillId="0" borderId="116" xfId="23" applyNumberFormat="1" applyFont="1" applyBorder="1" applyAlignment="1">
      <alignment horizontal="center" vertical="center" wrapText="1"/>
      <protection/>
    </xf>
    <xf numFmtId="3" fontId="13" fillId="0" borderId="73" xfId="23" applyNumberFormat="1" applyFont="1" applyBorder="1" applyAlignment="1">
      <alignment horizontal="center" vertical="center" wrapText="1"/>
      <protection/>
    </xf>
    <xf numFmtId="3" fontId="10" fillId="2" borderId="13" xfId="23" applyNumberFormat="1" applyFont="1" applyFill="1" applyBorder="1">
      <alignment/>
      <protection/>
    </xf>
    <xf numFmtId="3" fontId="10" fillId="2" borderId="14" xfId="23" applyNumberFormat="1" applyFont="1" applyFill="1" applyBorder="1">
      <alignment/>
      <protection/>
    </xf>
    <xf numFmtId="3" fontId="10" fillId="2" borderId="1" xfId="23" applyNumberFormat="1" applyFont="1" applyFill="1" applyBorder="1">
      <alignment/>
      <protection/>
    </xf>
    <xf numFmtId="3" fontId="13" fillId="0" borderId="173" xfId="23" applyNumberFormat="1" applyFont="1" applyBorder="1" applyAlignment="1">
      <alignment horizontal="center" vertical="center"/>
      <protection/>
    </xf>
    <xf numFmtId="3" fontId="13" fillId="0" borderId="174" xfId="23" applyNumberFormat="1" applyFont="1" applyBorder="1" applyAlignment="1">
      <alignment horizontal="center" vertical="center"/>
      <protection/>
    </xf>
    <xf numFmtId="3" fontId="13" fillId="0" borderId="156" xfId="23" applyNumberFormat="1" applyFont="1" applyBorder="1" applyAlignment="1">
      <alignment horizontal="center" vertical="center"/>
      <protection/>
    </xf>
    <xf numFmtId="1" fontId="10" fillId="0" borderId="171" xfId="23" applyNumberFormat="1" applyFont="1" applyBorder="1" applyAlignment="1">
      <alignment horizontal="center"/>
      <protection/>
    </xf>
    <xf numFmtId="1" fontId="10" fillId="0" borderId="172" xfId="23" applyNumberFormat="1" applyFont="1" applyBorder="1" applyAlignment="1">
      <alignment horizontal="center"/>
      <protection/>
    </xf>
    <xf numFmtId="1" fontId="10" fillId="0" borderId="122" xfId="23" applyNumberFormat="1" applyFont="1" applyBorder="1" applyAlignment="1">
      <alignment horizontal="center"/>
      <protection/>
    </xf>
    <xf numFmtId="3" fontId="13" fillId="0" borderId="148" xfId="23" applyNumberFormat="1" applyFont="1" applyBorder="1" applyAlignment="1">
      <alignment horizontal="center" vertical="center" wrapText="1"/>
      <protection/>
    </xf>
    <xf numFmtId="3" fontId="13" fillId="0" borderId="106" xfId="23" applyNumberFormat="1" applyFont="1" applyBorder="1" applyAlignment="1">
      <alignment horizontal="center" vertical="center" wrapText="1"/>
      <protection/>
    </xf>
    <xf numFmtId="3" fontId="13" fillId="0" borderId="158" xfId="23" applyNumberFormat="1" applyFont="1" applyBorder="1" applyAlignment="1">
      <alignment horizontal="center" vertical="center" wrapText="1"/>
      <protection/>
    </xf>
    <xf numFmtId="3" fontId="10" fillId="2" borderId="5" xfId="23" applyNumberFormat="1" applyFont="1" applyFill="1" applyBorder="1">
      <alignment/>
      <protection/>
    </xf>
    <xf numFmtId="3" fontId="10" fillId="0" borderId="0" xfId="23" applyNumberFormat="1" applyFont="1" applyBorder="1" applyAlignment="1">
      <alignment horizontal="center"/>
      <protection/>
    </xf>
    <xf numFmtId="3" fontId="10" fillId="0" borderId="0" xfId="23" applyNumberFormat="1" applyFont="1" applyBorder="1" applyAlignment="1">
      <alignment horizontal="center" vertical="center"/>
      <protection/>
    </xf>
    <xf numFmtId="3" fontId="10" fillId="0" borderId="0" xfId="23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3" fontId="10" fillId="0" borderId="103" xfId="23" applyNumberFormat="1" applyFont="1" applyBorder="1" applyAlignment="1">
      <alignment horizontal="center"/>
      <protection/>
    </xf>
    <xf numFmtId="165" fontId="13" fillId="0" borderId="42" xfId="0" applyNumberFormat="1" applyFont="1" applyFill="1" applyBorder="1" applyAlignment="1">
      <alignment horizontal="center"/>
    </xf>
    <xf numFmtId="164" fontId="10" fillId="0" borderId="0" xfId="23" applyNumberFormat="1" applyFont="1" applyBorder="1" applyAlignment="1">
      <alignment horizontal="center" wrapText="1"/>
      <protection/>
    </xf>
    <xf numFmtId="0" fontId="19" fillId="0" borderId="0" xfId="0" applyFont="1" applyAlignment="1">
      <alignment horizontal="center" vertical="center" wrapText="1"/>
    </xf>
    <xf numFmtId="0" fontId="10" fillId="0" borderId="55" xfId="27" applyFont="1" applyFill="1" applyBorder="1" applyAlignment="1">
      <alignment horizontal="center" vertical="center"/>
      <protection/>
    </xf>
    <xf numFmtId="0" fontId="10" fillId="0" borderId="58" xfId="27" applyFont="1" applyFill="1" applyBorder="1" applyAlignment="1">
      <alignment horizontal="center" vertical="center"/>
      <protection/>
    </xf>
    <xf numFmtId="164" fontId="18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0" fillId="0" borderId="54" xfId="0" applyNumberFormat="1" applyFont="1" applyBorder="1" applyAlignment="1">
      <alignment vertical="center"/>
    </xf>
    <xf numFmtId="3" fontId="10" fillId="0" borderId="46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1" xfId="27" applyFont="1" applyFill="1" applyBorder="1" applyAlignment="1">
      <alignment horizontal="center" vertical="center"/>
      <protection/>
    </xf>
    <xf numFmtId="0" fontId="10" fillId="0" borderId="102" xfId="27" applyFont="1" applyFill="1" applyBorder="1" applyAlignment="1">
      <alignment horizontal="center" vertical="center"/>
      <protection/>
    </xf>
    <xf numFmtId="0" fontId="10" fillId="0" borderId="171" xfId="27" applyFont="1" applyFill="1" applyBorder="1" applyAlignment="1">
      <alignment horizontal="center" vertical="center"/>
      <protection/>
    </xf>
    <xf numFmtId="0" fontId="34" fillId="0" borderId="0" xfId="0" applyFont="1" applyFill="1" applyBorder="1" applyAlignment="1">
      <alignment horizontal="center" vertical="center"/>
    </xf>
    <xf numFmtId="3" fontId="10" fillId="0" borderId="129" xfId="0" applyNumberFormat="1" applyFont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164" fontId="34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175" xfId="0" applyFont="1" applyFill="1" applyBorder="1" applyAlignment="1">
      <alignment horizontal="center" vertical="center"/>
    </xf>
    <xf numFmtId="0" fontId="13" fillId="0" borderId="122" xfId="0" applyFont="1" applyFill="1" applyBorder="1" applyAlignment="1">
      <alignment horizontal="center" vertical="center"/>
    </xf>
    <xf numFmtId="3" fontId="25" fillId="0" borderId="57" xfId="0" applyNumberFormat="1" applyFont="1" applyBorder="1" applyAlignment="1">
      <alignment horizontal="center" vertical="center" wrapText="1"/>
    </xf>
    <xf numFmtId="3" fontId="25" fillId="0" borderId="59" xfId="0" applyNumberFormat="1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3" fontId="27" fillId="0" borderId="79" xfId="26" applyNumberFormat="1" applyFont="1" applyFill="1" applyBorder="1" applyAlignment="1">
      <alignment vertical="center"/>
      <protection/>
    </xf>
    <xf numFmtId="3" fontId="27" fillId="0" borderId="45" xfId="26" applyNumberFormat="1" applyFont="1" applyFill="1" applyBorder="1" applyAlignment="1">
      <alignment vertical="center"/>
      <protection/>
    </xf>
    <xf numFmtId="3" fontId="27" fillId="0" borderId="113" xfId="26" applyNumberFormat="1" applyFont="1" applyFill="1" applyBorder="1" applyAlignment="1">
      <alignment vertical="center"/>
      <protection/>
    </xf>
    <xf numFmtId="0" fontId="10" fillId="0" borderId="75" xfId="26" applyFont="1" applyFill="1" applyBorder="1" applyAlignment="1">
      <alignment horizontal="center" vertical="center"/>
      <protection/>
    </xf>
    <xf numFmtId="0" fontId="10" fillId="0" borderId="81" xfId="26" applyFont="1" applyFill="1" applyBorder="1" applyAlignment="1">
      <alignment horizontal="center" vertical="center"/>
      <protection/>
    </xf>
    <xf numFmtId="0" fontId="10" fillId="0" borderId="92" xfId="26" applyFont="1" applyFill="1" applyBorder="1" applyAlignment="1">
      <alignment horizontal="center" vertical="center"/>
      <protection/>
    </xf>
    <xf numFmtId="0" fontId="10" fillId="0" borderId="2" xfId="26" applyFont="1" applyFill="1" applyBorder="1" applyAlignment="1">
      <alignment horizontal="center" vertical="center"/>
      <protection/>
    </xf>
    <xf numFmtId="0" fontId="10" fillId="0" borderId="0" xfId="26" applyFont="1" applyFill="1" applyBorder="1" applyAlignment="1">
      <alignment horizontal="center" vertical="center"/>
      <protection/>
    </xf>
    <xf numFmtId="0" fontId="10" fillId="0" borderId="49" xfId="26" applyFont="1" applyFill="1" applyBorder="1" applyAlignment="1">
      <alignment horizontal="center" vertical="center"/>
      <protection/>
    </xf>
    <xf numFmtId="0" fontId="10" fillId="0" borderId="88" xfId="26" applyFont="1" applyFill="1" applyBorder="1" applyAlignment="1">
      <alignment horizontal="center" vertical="center"/>
      <protection/>
    </xf>
    <xf numFmtId="0" fontId="10" fillId="0" borderId="84" xfId="26" applyFont="1" applyFill="1" applyBorder="1" applyAlignment="1">
      <alignment horizontal="center" vertical="center"/>
      <protection/>
    </xf>
    <xf numFmtId="0" fontId="10" fillId="0" borderId="83" xfId="26" applyFont="1" applyFill="1" applyBorder="1" applyAlignment="1">
      <alignment horizontal="center" vertical="center"/>
      <protection/>
    </xf>
    <xf numFmtId="0" fontId="18" fillId="0" borderId="0" xfId="26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5" fillId="0" borderId="122" xfId="26" applyFont="1" applyFill="1" applyBorder="1" applyAlignment="1">
      <alignment horizontal="center" vertical="center" wrapText="1"/>
      <protection/>
    </xf>
    <xf numFmtId="0" fontId="25" fillId="0" borderId="102" xfId="26" applyFont="1" applyFill="1" applyBorder="1" applyAlignment="1">
      <alignment horizontal="center" vertical="center" wrapText="1"/>
      <protection/>
    </xf>
    <xf numFmtId="0" fontId="25" fillId="0" borderId="74" xfId="26" applyFont="1" applyFill="1" applyBorder="1" applyAlignment="1">
      <alignment horizontal="center" vertical="center" wrapText="1"/>
      <protection/>
    </xf>
    <xf numFmtId="0" fontId="25" fillId="0" borderId="42" xfId="26" applyFont="1" applyFill="1" applyBorder="1" applyAlignment="1">
      <alignment horizontal="center" vertical="center" wrapText="1"/>
      <protection/>
    </xf>
    <xf numFmtId="0" fontId="25" fillId="0" borderId="103" xfId="26" applyFont="1" applyFill="1" applyBorder="1" applyAlignment="1">
      <alignment horizontal="center" vertical="center" wrapText="1"/>
      <protection/>
    </xf>
    <xf numFmtId="0" fontId="25" fillId="0" borderId="124" xfId="26" applyFont="1" applyFill="1" applyBorder="1" applyAlignment="1">
      <alignment horizontal="center" vertical="center" wrapText="1"/>
      <protection/>
    </xf>
    <xf numFmtId="0" fontId="25" fillId="0" borderId="42" xfId="26" applyFont="1" applyFill="1" applyBorder="1" applyAlignment="1">
      <alignment horizontal="center" vertical="center" wrapText="1" shrinkToFit="1"/>
      <protection/>
    </xf>
    <xf numFmtId="3" fontId="18" fillId="0" borderId="42" xfId="26" applyNumberFormat="1" applyFont="1" applyFill="1" applyBorder="1" applyAlignment="1">
      <alignment horizontal="center" vertical="center"/>
      <protection/>
    </xf>
    <xf numFmtId="0" fontId="25" fillId="0" borderId="124" xfId="26" applyFont="1" applyFill="1" applyBorder="1" applyAlignment="1">
      <alignment horizontal="center" vertical="center" wrapText="1" shrinkToFit="1"/>
      <protection/>
    </xf>
    <xf numFmtId="0" fontId="25" fillId="0" borderId="60" xfId="26" applyFont="1" applyFill="1" applyBorder="1" applyAlignment="1">
      <alignment horizontal="center" vertical="center" wrapText="1" shrinkToFit="1"/>
      <protection/>
    </xf>
    <xf numFmtId="0" fontId="25" fillId="0" borderId="70" xfId="26" applyFont="1" applyFill="1" applyBorder="1" applyAlignment="1">
      <alignment horizontal="center" vertical="center" wrapText="1" shrinkToFit="1"/>
      <protection/>
    </xf>
    <xf numFmtId="0" fontId="25" fillId="0" borderId="176" xfId="26" applyFont="1" applyFill="1" applyBorder="1" applyAlignment="1">
      <alignment horizontal="center" vertical="center" wrapText="1" shrinkToFit="1"/>
      <protection/>
    </xf>
    <xf numFmtId="0" fontId="25" fillId="0" borderId="83" xfId="26" applyFont="1" applyFill="1" applyBorder="1" applyAlignment="1">
      <alignment horizontal="center" vertical="center" wrapText="1" shrinkToFit="1"/>
      <protection/>
    </xf>
    <xf numFmtId="3" fontId="27" fillId="0" borderId="0" xfId="26" applyNumberFormat="1" applyFont="1" applyFill="1" applyBorder="1" applyAlignment="1">
      <alignment vertical="center"/>
      <protection/>
    </xf>
    <xf numFmtId="0" fontId="25" fillId="0" borderId="101" xfId="26" applyFont="1" applyFill="1" applyBorder="1" applyAlignment="1">
      <alignment horizontal="center" vertical="center"/>
      <protection/>
    </xf>
    <xf numFmtId="0" fontId="25" fillId="0" borderId="102" xfId="26" applyFont="1" applyFill="1" applyBorder="1" applyAlignment="1">
      <alignment horizontal="center" vertical="center"/>
      <protection/>
    </xf>
    <xf numFmtId="0" fontId="25" fillId="0" borderId="123" xfId="26" applyFont="1" applyFill="1" applyBorder="1" applyAlignment="1">
      <alignment horizontal="center" vertical="center"/>
      <protection/>
    </xf>
    <xf numFmtId="0" fontId="25" fillId="0" borderId="42" xfId="26" applyFont="1" applyFill="1" applyBorder="1" applyAlignment="1">
      <alignment horizontal="center" vertical="center"/>
      <protection/>
    </xf>
    <xf numFmtId="0" fontId="25" fillId="0" borderId="43" xfId="26" applyFont="1" applyFill="1" applyBorder="1" applyAlignment="1">
      <alignment horizontal="center" vertical="center"/>
      <protection/>
    </xf>
    <xf numFmtId="3" fontId="15" fillId="0" borderId="0" xfId="26" applyNumberFormat="1" applyFont="1" applyFill="1" applyBorder="1" applyAlignment="1">
      <alignment vertical="center"/>
      <protection/>
    </xf>
    <xf numFmtId="3" fontId="27" fillId="0" borderId="0" xfId="26" applyNumberFormat="1" applyFont="1" applyFill="1" applyBorder="1" applyAlignment="1">
      <alignment vertical="center"/>
      <protection/>
    </xf>
    <xf numFmtId="3" fontId="27" fillId="0" borderId="4" xfId="26" applyNumberFormat="1" applyFont="1" applyFill="1" applyBorder="1" applyAlignment="1">
      <alignment horizontal="center" vertical="center"/>
      <protection/>
    </xf>
    <xf numFmtId="3" fontId="27" fillId="0" borderId="5" xfId="26" applyNumberFormat="1" applyFont="1" applyFill="1" applyBorder="1" applyAlignment="1">
      <alignment horizontal="center" vertical="center"/>
      <protection/>
    </xf>
    <xf numFmtId="3" fontId="27" fillId="0" borderId="13" xfId="26" applyNumberFormat="1" applyFont="1" applyFill="1" applyBorder="1" applyAlignment="1">
      <alignment horizontal="center" vertical="center"/>
      <protection/>
    </xf>
    <xf numFmtId="3" fontId="15" fillId="0" borderId="4" xfId="26" applyNumberFormat="1" applyFont="1" applyFill="1" applyBorder="1" applyAlignment="1">
      <alignment vertical="center"/>
      <protection/>
    </xf>
    <xf numFmtId="3" fontId="15" fillId="0" borderId="5" xfId="26" applyNumberFormat="1" applyFont="1" applyFill="1" applyBorder="1" applyAlignment="1">
      <alignment vertical="center"/>
      <protection/>
    </xf>
    <xf numFmtId="3" fontId="15" fillId="0" borderId="13" xfId="26" applyNumberFormat="1" applyFont="1" applyFill="1" applyBorder="1" applyAlignment="1">
      <alignment vertical="center"/>
      <protection/>
    </xf>
    <xf numFmtId="3" fontId="15" fillId="0" borderId="19" xfId="26" applyNumberFormat="1" applyFont="1" applyFill="1" applyBorder="1" applyAlignment="1">
      <alignment vertical="center"/>
      <protection/>
    </xf>
    <xf numFmtId="3" fontId="15" fillId="0" borderId="22" xfId="26" applyNumberFormat="1" applyFont="1" applyFill="1" applyBorder="1" applyAlignment="1">
      <alignment vertical="center"/>
      <protection/>
    </xf>
    <xf numFmtId="3" fontId="15" fillId="0" borderId="24" xfId="26" applyNumberFormat="1" applyFont="1" applyFill="1" applyBorder="1" applyAlignment="1">
      <alignment vertical="center"/>
      <protection/>
    </xf>
    <xf numFmtId="3" fontId="27" fillId="0" borderId="4" xfId="26" applyNumberFormat="1" applyFont="1" applyFill="1" applyBorder="1" applyAlignment="1">
      <alignment vertical="center"/>
      <protection/>
    </xf>
    <xf numFmtId="3" fontId="27" fillId="0" borderId="5" xfId="26" applyNumberFormat="1" applyFont="1" applyFill="1" applyBorder="1" applyAlignment="1">
      <alignment vertical="center"/>
      <protection/>
    </xf>
    <xf numFmtId="3" fontId="27" fillId="0" borderId="13" xfId="26" applyNumberFormat="1" applyFont="1" applyFill="1" applyBorder="1" applyAlignment="1">
      <alignment vertical="center"/>
      <protection/>
    </xf>
    <xf numFmtId="3" fontId="27" fillId="0" borderId="35" xfId="26" applyNumberFormat="1" applyFont="1" applyFill="1" applyBorder="1" applyAlignment="1">
      <alignment vertical="center"/>
      <protection/>
    </xf>
    <xf numFmtId="3" fontId="27" fillId="0" borderId="28" xfId="26" applyNumberFormat="1" applyFont="1" applyFill="1" applyBorder="1" applyAlignment="1">
      <alignment vertical="center"/>
      <protection/>
    </xf>
    <xf numFmtId="3" fontId="27" fillId="0" borderId="29" xfId="26" applyNumberFormat="1" applyFont="1" applyFill="1" applyBorder="1" applyAlignment="1">
      <alignment vertical="center"/>
      <protection/>
    </xf>
    <xf numFmtId="3" fontId="15" fillId="0" borderId="20" xfId="26" applyNumberFormat="1" applyFont="1" applyFill="1" applyBorder="1" applyAlignment="1">
      <alignment vertical="center"/>
      <protection/>
    </xf>
    <xf numFmtId="3" fontId="15" fillId="0" borderId="46" xfId="26" applyNumberFormat="1" applyFont="1" applyFill="1" applyBorder="1" applyAlignment="1">
      <alignment vertical="center"/>
      <protection/>
    </xf>
    <xf numFmtId="3" fontId="15" fillId="0" borderId="67" xfId="26" applyNumberFormat="1" applyFont="1" applyFill="1" applyBorder="1" applyAlignment="1">
      <alignment vertical="center"/>
      <protection/>
    </xf>
    <xf numFmtId="3" fontId="15" fillId="0" borderId="4" xfId="26" applyNumberFormat="1" applyFont="1" applyBorder="1" applyAlignment="1">
      <alignment vertical="center" wrapText="1"/>
      <protection/>
    </xf>
    <xf numFmtId="0" fontId="9" fillId="0" borderId="5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3" fontId="27" fillId="0" borderId="79" xfId="26" applyNumberFormat="1" applyFont="1" applyFill="1" applyBorder="1" applyAlignment="1">
      <alignment vertical="center"/>
      <protection/>
    </xf>
    <xf numFmtId="3" fontId="27" fillId="0" borderId="45" xfId="26" applyNumberFormat="1" applyFont="1" applyFill="1" applyBorder="1" applyAlignment="1">
      <alignment vertical="center"/>
      <protection/>
    </xf>
    <xf numFmtId="3" fontId="27" fillId="0" borderId="113" xfId="26" applyNumberFormat="1" applyFont="1" applyFill="1" applyBorder="1" applyAlignment="1">
      <alignment vertical="center"/>
      <protection/>
    </xf>
    <xf numFmtId="3" fontId="15" fillId="0" borderId="38" xfId="26" applyNumberFormat="1" applyFont="1" applyBorder="1" applyAlignment="1">
      <alignment vertical="center" wrapText="1"/>
      <protection/>
    </xf>
    <xf numFmtId="3" fontId="15" fillId="0" borderId="39" xfId="26" applyNumberFormat="1" applyFont="1" applyBorder="1" applyAlignment="1">
      <alignment vertical="center" wrapText="1"/>
      <protection/>
    </xf>
    <xf numFmtId="3" fontId="15" fillId="0" borderId="10" xfId="26" applyNumberFormat="1" applyFont="1" applyFill="1" applyBorder="1" applyAlignment="1">
      <alignment vertical="center" wrapText="1"/>
      <protection/>
    </xf>
    <xf numFmtId="0" fontId="0" fillId="0" borderId="14" xfId="0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167" fontId="17" fillId="0" borderId="38" xfId="31" applyNumberFormat="1" applyBorder="1" applyAlignment="1">
      <alignment horizontal="center" vertical="center" wrapText="1"/>
      <protection/>
    </xf>
    <xf numFmtId="167" fontId="17" fillId="0" borderId="39" xfId="31" applyNumberFormat="1" applyBorder="1" applyAlignment="1">
      <alignment horizontal="center" vertical="center" wrapText="1"/>
      <protection/>
    </xf>
    <xf numFmtId="167" fontId="17" fillId="0" borderId="40" xfId="31" applyNumberFormat="1" applyBorder="1" applyAlignment="1">
      <alignment horizontal="center" vertical="center" wrapText="1"/>
      <protection/>
    </xf>
    <xf numFmtId="167" fontId="18" fillId="0" borderId="0" xfId="31" applyNumberFormat="1" applyFont="1" applyAlignment="1">
      <alignment horizontal="center" vertical="center" wrapText="1"/>
      <protection/>
    </xf>
    <xf numFmtId="0" fontId="9" fillId="0" borderId="0" xfId="21" applyFont="1" applyFill="1" applyBorder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0" fontId="1" fillId="0" borderId="90" xfId="21" applyFont="1" applyFill="1" applyBorder="1" applyAlignment="1">
      <alignment horizontal="left"/>
      <protection/>
    </xf>
    <xf numFmtId="0" fontId="1" fillId="0" borderId="72" xfId="21" applyFont="1" applyFill="1" applyBorder="1" applyAlignment="1">
      <alignment horizontal="left"/>
      <protection/>
    </xf>
    <xf numFmtId="0" fontId="1" fillId="0" borderId="75" xfId="21" applyFont="1" applyFill="1" applyBorder="1" applyAlignment="1">
      <alignment horizontal="center"/>
      <protection/>
    </xf>
    <xf numFmtId="0" fontId="1" fillId="0" borderId="81" xfId="21" applyFont="1" applyFill="1" applyBorder="1" applyAlignment="1">
      <alignment horizontal="center"/>
      <protection/>
    </xf>
    <xf numFmtId="0" fontId="1" fillId="0" borderId="92" xfId="21" applyFont="1" applyFill="1" applyBorder="1" applyAlignment="1">
      <alignment horizontal="center"/>
      <protection/>
    </xf>
    <xf numFmtId="0" fontId="48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173" fontId="4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54" fillId="0" borderId="13" xfId="15" applyNumberFormat="1" applyFont="1" applyFill="1" applyBorder="1" applyAlignment="1">
      <alignment horizontal="left" wrapText="1"/>
    </xf>
    <xf numFmtId="3" fontId="54" fillId="0" borderId="14" xfId="15" applyNumberFormat="1" applyFont="1" applyFill="1" applyBorder="1" applyAlignment="1">
      <alignment horizontal="left" wrapText="1"/>
    </xf>
    <xf numFmtId="3" fontId="54" fillId="0" borderId="1" xfId="15" applyNumberFormat="1" applyFont="1" applyFill="1" applyBorder="1" applyAlignment="1">
      <alignment horizontal="left" wrapText="1"/>
    </xf>
    <xf numFmtId="0" fontId="55" fillId="0" borderId="0" xfId="0" applyFont="1" applyAlignment="1">
      <alignment horizontal="center" vertical="center"/>
    </xf>
    <xf numFmtId="0" fontId="50" fillId="0" borderId="101" xfId="0" applyFont="1" applyBorder="1" applyAlignment="1">
      <alignment horizontal="center" vertical="center" wrapText="1"/>
    </xf>
    <xf numFmtId="0" fontId="50" fillId="0" borderId="123" xfId="0" applyFont="1" applyBorder="1" applyAlignment="1">
      <alignment horizontal="center" vertical="center" wrapText="1"/>
    </xf>
    <xf numFmtId="0" fontId="50" fillId="0" borderId="102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0" fillId="0" borderId="102" xfId="0" applyFont="1" applyBorder="1" applyAlignment="1">
      <alignment horizontal="center" vertical="center"/>
    </xf>
    <xf numFmtId="0" fontId="50" fillId="0" borderId="103" xfId="0" applyFont="1" applyBorder="1" applyAlignment="1">
      <alignment horizontal="center" vertical="center"/>
    </xf>
    <xf numFmtId="167" fontId="18" fillId="0" borderId="101" xfId="22" applyNumberFormat="1" applyFont="1" applyBorder="1" applyAlignment="1">
      <alignment horizontal="center" vertical="center"/>
      <protection/>
    </xf>
    <xf numFmtId="167" fontId="18" fillId="0" borderId="119" xfId="22" applyNumberFormat="1" applyFont="1" applyBorder="1" applyAlignment="1">
      <alignment horizontal="center" vertical="center"/>
      <protection/>
    </xf>
    <xf numFmtId="167" fontId="18" fillId="0" borderId="102" xfId="22" applyNumberFormat="1" applyFont="1" applyBorder="1" applyAlignment="1">
      <alignment horizontal="center" vertical="center" wrapText="1"/>
      <protection/>
    </xf>
    <xf numFmtId="167" fontId="18" fillId="0" borderId="102" xfId="22" applyNumberFormat="1" applyFont="1" applyBorder="1" applyAlignment="1">
      <alignment horizontal="center" vertical="center"/>
      <protection/>
    </xf>
    <xf numFmtId="167" fontId="31" fillId="0" borderId="0" xfId="22" applyNumberFormat="1" applyFont="1" applyAlignment="1">
      <alignment horizontal="center" vertical="center"/>
      <protection/>
    </xf>
    <xf numFmtId="167" fontId="17" fillId="0" borderId="91" xfId="22" applyNumberFormat="1" applyFont="1" applyBorder="1" applyAlignment="1">
      <alignment horizontal="right" vertical="center"/>
      <protection/>
    </xf>
    <xf numFmtId="167" fontId="10" fillId="0" borderId="102" xfId="22" applyNumberFormat="1" applyFont="1" applyBorder="1" applyAlignment="1">
      <alignment horizontal="center" vertical="center" wrapText="1"/>
      <protection/>
    </xf>
    <xf numFmtId="167" fontId="10" fillId="0" borderId="103" xfId="22" applyNumberFormat="1" applyFont="1" applyBorder="1" applyAlignment="1">
      <alignment horizontal="center" vertical="center" wrapText="1"/>
      <protection/>
    </xf>
    <xf numFmtId="167" fontId="18" fillId="0" borderId="177" xfId="22" applyNumberFormat="1" applyFont="1" applyBorder="1" applyAlignment="1">
      <alignment horizontal="center" vertical="center" wrapText="1"/>
      <protection/>
    </xf>
    <xf numFmtId="167" fontId="18" fillId="0" borderId="178" xfId="22" applyNumberFormat="1" applyFont="1" applyBorder="1" applyAlignment="1">
      <alignment horizontal="center" vertical="center" wrapText="1"/>
      <protection/>
    </xf>
    <xf numFmtId="167" fontId="18" fillId="0" borderId="175" xfId="22" applyNumberFormat="1" applyFont="1" applyBorder="1" applyAlignment="1">
      <alignment horizontal="center" vertical="center"/>
      <protection/>
    </xf>
    <xf numFmtId="167" fontId="18" fillId="0" borderId="164" xfId="22" applyNumberFormat="1" applyFont="1" applyBorder="1" applyAlignment="1">
      <alignment horizontal="center" vertical="center"/>
      <protection/>
    </xf>
    <xf numFmtId="167" fontId="18" fillId="0" borderId="173" xfId="22" applyNumberFormat="1" applyFont="1" applyBorder="1" applyAlignment="1">
      <alignment horizontal="center" vertical="center" wrapText="1"/>
      <protection/>
    </xf>
    <xf numFmtId="167" fontId="18" fillId="0" borderId="156" xfId="22" applyNumberFormat="1" applyFont="1" applyBorder="1" applyAlignment="1">
      <alignment horizontal="center" vertical="center" wrapText="1"/>
      <protection/>
    </xf>
    <xf numFmtId="167" fontId="18" fillId="0" borderId="171" xfId="22" applyNumberFormat="1" applyFont="1" applyBorder="1" applyAlignment="1">
      <alignment horizontal="center" vertical="center"/>
      <protection/>
    </xf>
    <xf numFmtId="167" fontId="18" fillId="0" borderId="122" xfId="22" applyNumberFormat="1" applyFont="1" applyBorder="1" applyAlignment="1">
      <alignment horizontal="center" vertical="center"/>
      <protection/>
    </xf>
    <xf numFmtId="167" fontId="18" fillId="0" borderId="85" xfId="22" applyNumberFormat="1" applyFont="1" applyBorder="1" applyAlignment="1">
      <alignment horizontal="center" vertical="center" wrapText="1"/>
      <protection/>
    </xf>
    <xf numFmtId="167" fontId="18" fillId="0" borderId="73" xfId="22" applyNumberFormat="1" applyFont="1" applyBorder="1" applyAlignment="1">
      <alignment horizontal="center" vertical="center" wrapText="1"/>
      <protection/>
    </xf>
    <xf numFmtId="167" fontId="18" fillId="0" borderId="148" xfId="22" applyNumberFormat="1" applyFont="1" applyBorder="1" applyAlignment="1">
      <alignment horizontal="center" vertical="center" wrapText="1"/>
      <protection/>
    </xf>
    <xf numFmtId="167" fontId="18" fillId="0" borderId="158" xfId="22" applyNumberFormat="1" applyFont="1" applyBorder="1" applyAlignment="1">
      <alignment horizontal="center" vertical="center" wrapText="1"/>
      <protection/>
    </xf>
    <xf numFmtId="167" fontId="19" fillId="0" borderId="0" xfId="22" applyNumberFormat="1" applyFont="1" applyAlignment="1">
      <alignment horizontal="center" vertical="center"/>
      <protection/>
    </xf>
    <xf numFmtId="167" fontId="18" fillId="0" borderId="173" xfId="22" applyNumberFormat="1" applyFont="1" applyBorder="1" applyAlignment="1">
      <alignment horizontal="center" vertical="center"/>
      <protection/>
    </xf>
    <xf numFmtId="167" fontId="18" fillId="0" borderId="156" xfId="22" applyNumberFormat="1" applyFont="1" applyBorder="1" applyAlignment="1">
      <alignment horizontal="center" vertical="center"/>
      <protection/>
    </xf>
    <xf numFmtId="167" fontId="18" fillId="0" borderId="179" xfId="22" applyNumberFormat="1" applyFont="1" applyBorder="1" applyAlignment="1">
      <alignment horizontal="center" vertical="center"/>
      <protection/>
    </xf>
    <xf numFmtId="167" fontId="18" fillId="0" borderId="92" xfId="22" applyNumberFormat="1" applyFont="1" applyBorder="1" applyAlignment="1">
      <alignment horizontal="center" vertical="center"/>
      <protection/>
    </xf>
    <xf numFmtId="3" fontId="13" fillId="2" borderId="172" xfId="29" applyNumberFormat="1" applyFont="1" applyFill="1" applyBorder="1" applyAlignment="1">
      <alignment horizontal="center" vertical="center" wrapText="1"/>
      <protection/>
    </xf>
    <xf numFmtId="0" fontId="13" fillId="0" borderId="122" xfId="28" applyBorder="1" applyAlignment="1">
      <alignment horizontal="center" vertical="center" wrapText="1"/>
      <protection/>
    </xf>
    <xf numFmtId="167" fontId="35" fillId="2" borderId="91" xfId="29" applyNumberFormat="1" applyFont="1" applyFill="1" applyBorder="1" applyAlignment="1">
      <alignment horizontal="center" vertical="center" wrapText="1"/>
      <protection/>
    </xf>
    <xf numFmtId="0" fontId="35" fillId="2" borderId="91" xfId="29" applyFont="1" applyFill="1" applyBorder="1" applyAlignment="1">
      <alignment vertical="center" wrapText="1"/>
      <protection/>
    </xf>
    <xf numFmtId="167" fontId="12" fillId="2" borderId="0" xfId="29" applyNumberFormat="1" applyFont="1" applyFill="1" applyBorder="1" applyAlignment="1">
      <alignment horizontal="right" vertical="center"/>
      <protection/>
    </xf>
    <xf numFmtId="167" fontId="34" fillId="2" borderId="0" xfId="29" applyNumberFormat="1" applyFont="1" applyFill="1" applyBorder="1" applyAlignment="1">
      <alignment horizontal="center" vertical="center" wrapText="1"/>
      <protection/>
    </xf>
    <xf numFmtId="167" fontId="10" fillId="2" borderId="173" xfId="29" applyNumberFormat="1" applyFont="1" applyFill="1" applyBorder="1" applyAlignment="1">
      <alignment horizontal="center" vertical="center" wrapText="1"/>
      <protection/>
    </xf>
    <xf numFmtId="167" fontId="10" fillId="2" borderId="174" xfId="29" applyNumberFormat="1" applyFont="1" applyFill="1" applyBorder="1" applyAlignment="1">
      <alignment horizontal="center" vertical="center" wrapText="1"/>
      <protection/>
    </xf>
    <xf numFmtId="0" fontId="13" fillId="2" borderId="156" xfId="29" applyFont="1" applyFill="1" applyBorder="1" applyAlignment="1">
      <alignment horizontal="center" vertical="center" wrapText="1"/>
      <protection/>
    </xf>
    <xf numFmtId="167" fontId="10" fillId="2" borderId="85" xfId="29" applyNumberFormat="1" applyFont="1" applyFill="1" applyBorder="1" applyAlignment="1">
      <alignment horizontal="center" vertical="center"/>
      <protection/>
    </xf>
    <xf numFmtId="167" fontId="10" fillId="2" borderId="60" xfId="29" applyNumberFormat="1" applyFont="1" applyFill="1" applyBorder="1" applyAlignment="1">
      <alignment horizontal="center" vertical="center"/>
      <protection/>
    </xf>
    <xf numFmtId="0" fontId="13" fillId="2" borderId="73" xfId="29" applyFont="1" applyFill="1" applyBorder="1" applyAlignment="1">
      <alignment horizontal="center" vertical="center"/>
      <protection/>
    </xf>
    <xf numFmtId="3" fontId="10" fillId="2" borderId="85" xfId="29" applyNumberFormat="1" applyFont="1" applyFill="1" applyBorder="1" applyAlignment="1">
      <alignment horizontal="center" vertical="center" wrapText="1"/>
      <protection/>
    </xf>
    <xf numFmtId="3" fontId="10" fillId="2" borderId="60" xfId="29" applyNumberFormat="1" applyFont="1" applyFill="1" applyBorder="1" applyAlignment="1">
      <alignment horizontal="center" vertical="center" wrapText="1"/>
      <protection/>
    </xf>
    <xf numFmtId="3" fontId="13" fillId="2" borderId="73" xfId="29" applyNumberFormat="1" applyFont="1" applyFill="1" applyBorder="1" applyAlignment="1">
      <alignment horizontal="center" vertical="center" wrapText="1"/>
      <protection/>
    </xf>
    <xf numFmtId="167" fontId="10" fillId="2" borderId="180" xfId="29" applyNumberFormat="1" applyFont="1" applyFill="1" applyBorder="1" applyAlignment="1">
      <alignment horizontal="center" vertical="center" wrapText="1"/>
      <protection/>
    </xf>
    <xf numFmtId="167" fontId="10" fillId="2" borderId="12" xfId="29" applyNumberFormat="1" applyFont="1" applyFill="1" applyBorder="1" applyAlignment="1">
      <alignment horizontal="center" vertical="center" wrapText="1"/>
      <protection/>
    </xf>
    <xf numFmtId="167" fontId="10" fillId="2" borderId="181" xfId="29" applyNumberFormat="1" applyFont="1" applyFill="1" applyBorder="1" applyAlignment="1">
      <alignment horizontal="center" vertical="center" wrapText="1"/>
      <protection/>
    </xf>
    <xf numFmtId="3" fontId="10" fillId="2" borderId="150" xfId="29" applyNumberFormat="1" applyFont="1" applyFill="1" applyBorder="1" applyAlignment="1">
      <alignment horizontal="center" vertical="center" wrapText="1"/>
      <protection/>
    </xf>
    <xf numFmtId="3" fontId="10" fillId="2" borderId="182" xfId="29" applyNumberFormat="1" applyFont="1" applyFill="1" applyBorder="1" applyAlignment="1">
      <alignment horizontal="center" vertical="center" wrapText="1"/>
      <protection/>
    </xf>
    <xf numFmtId="3" fontId="10" fillId="2" borderId="183" xfId="29" applyNumberFormat="1" applyFont="1" applyFill="1" applyBorder="1" applyAlignment="1">
      <alignment horizontal="center" vertical="center" wrapText="1"/>
      <protection/>
    </xf>
    <xf numFmtId="3" fontId="10" fillId="2" borderId="116" xfId="29" applyNumberFormat="1" applyFont="1" applyFill="1" applyBorder="1" applyAlignment="1">
      <alignment horizontal="center" vertical="center" wrapText="1"/>
      <protection/>
    </xf>
    <xf numFmtId="3" fontId="10" fillId="2" borderId="73" xfId="29" applyNumberFormat="1" applyFont="1" applyFill="1" applyBorder="1" applyAlignment="1">
      <alignment horizontal="center" vertical="center" wrapText="1"/>
      <protection/>
    </xf>
    <xf numFmtId="167" fontId="18" fillId="2" borderId="4" xfId="29" applyNumberFormat="1" applyFont="1" applyFill="1" applyBorder="1" applyAlignment="1">
      <alignment horizontal="center" vertical="center" wrapText="1"/>
      <protection/>
    </xf>
    <xf numFmtId="0" fontId="13" fillId="2" borderId="5" xfId="29" applyFont="1" applyFill="1" applyBorder="1" applyAlignment="1">
      <alignment horizontal="center" vertical="center" wrapText="1"/>
      <protection/>
    </xf>
    <xf numFmtId="167" fontId="10" fillId="2" borderId="5" xfId="29" applyNumberFormat="1" applyFont="1" applyFill="1" applyBorder="1" applyAlignment="1" applyProtection="1">
      <alignment vertical="center" wrapText="1"/>
      <protection/>
    </xf>
    <xf numFmtId="0" fontId="13" fillId="2" borderId="5" xfId="29" applyFont="1" applyFill="1" applyBorder="1" applyAlignment="1">
      <alignment vertical="center" wrapText="1"/>
      <protection/>
    </xf>
    <xf numFmtId="0" fontId="13" fillId="2" borderId="6" xfId="29" applyFont="1" applyFill="1" applyBorder="1" applyAlignment="1">
      <alignment vertical="center" wrapText="1"/>
      <protection/>
    </xf>
    <xf numFmtId="167" fontId="18" fillId="2" borderId="75" xfId="29" applyNumberFormat="1" applyFont="1" applyFill="1" applyBorder="1" applyAlignment="1">
      <alignment horizontal="center" vertical="center" wrapText="1"/>
      <protection/>
    </xf>
    <xf numFmtId="0" fontId="13" fillId="2" borderId="81" xfId="29" applyFont="1" applyFill="1" applyBorder="1" applyAlignment="1">
      <alignment horizontal="center" vertical="center" wrapText="1"/>
      <protection/>
    </xf>
    <xf numFmtId="167" fontId="10" fillId="2" borderId="81" xfId="29" applyNumberFormat="1" applyFont="1" applyFill="1" applyBorder="1" applyAlignment="1">
      <alignment horizontal="center" vertical="center" wrapText="1"/>
      <protection/>
    </xf>
    <xf numFmtId="0" fontId="13" fillId="2" borderId="86" xfId="29" applyFont="1" applyFill="1" applyBorder="1" applyAlignment="1">
      <alignment horizontal="center" vertical="center" wrapText="1"/>
      <protection/>
    </xf>
    <xf numFmtId="0" fontId="25" fillId="2" borderId="10" xfId="29" applyNumberFormat="1" applyFont="1" applyFill="1" applyBorder="1" applyAlignment="1">
      <alignment horizontal="center" vertical="center" wrapText="1"/>
      <protection/>
    </xf>
    <xf numFmtId="0" fontId="25" fillId="2" borderId="14" xfId="29" applyNumberFormat="1" applyFont="1" applyFill="1" applyBorder="1" applyAlignment="1">
      <alignment horizontal="center" vertical="center" wrapText="1"/>
      <protection/>
    </xf>
    <xf numFmtId="0" fontId="25" fillId="2" borderId="1" xfId="29" applyNumberFormat="1" applyFont="1" applyFill="1" applyBorder="1" applyAlignment="1">
      <alignment horizontal="center" vertical="center" wrapText="1"/>
      <protection/>
    </xf>
    <xf numFmtId="0" fontId="18" fillId="2" borderId="7" xfId="29" applyNumberFormat="1" applyFont="1" applyFill="1" applyBorder="1" applyAlignment="1">
      <alignment horizontal="center" vertical="center" wrapText="1"/>
      <protection/>
    </xf>
    <xf numFmtId="0" fontId="18" fillId="2" borderId="8" xfId="29" applyNumberFormat="1" applyFont="1" applyFill="1" applyBorder="1" applyAlignment="1">
      <alignment horizontal="center" vertical="center" wrapText="1"/>
      <protection/>
    </xf>
    <xf numFmtId="0" fontId="25" fillId="2" borderId="11" xfId="29" applyNumberFormat="1" applyFont="1" applyFill="1" applyBorder="1" applyAlignment="1">
      <alignment horizontal="center" vertical="center" wrapText="1"/>
      <protection/>
    </xf>
    <xf numFmtId="0" fontId="25" fillId="2" borderId="184" xfId="29" applyNumberFormat="1" applyFont="1" applyFill="1" applyBorder="1" applyAlignment="1">
      <alignment horizontal="center" vertical="center" wrapText="1"/>
      <protection/>
    </xf>
    <xf numFmtId="0" fontId="25" fillId="2" borderId="41" xfId="29" applyNumberFormat="1" applyFont="1" applyFill="1" applyBorder="1" applyAlignment="1">
      <alignment horizontal="center" vertical="center" wrapText="1"/>
      <protection/>
    </xf>
    <xf numFmtId="0" fontId="18" fillId="2" borderId="4" xfId="29" applyNumberFormat="1" applyFont="1" applyFill="1" applyBorder="1" applyAlignment="1">
      <alignment horizontal="center" vertical="center" wrapText="1"/>
      <protection/>
    </xf>
  </cellXfs>
  <cellStyles count="21">
    <cellStyle name="Normal" xfId="0"/>
    <cellStyle name="Comma" xfId="15"/>
    <cellStyle name="Comma [0]" xfId="16"/>
    <cellStyle name="Hyperlink" xfId="17"/>
    <cellStyle name="Followed Hyperlink" xfId="18"/>
    <cellStyle name="Normál_1. sz. függelék" xfId="19"/>
    <cellStyle name="Normál_2004. évi állami hozzájárulás (MÁK 2003.x.31.)" xfId="20"/>
    <cellStyle name="Normál_Átvilágítás Erika táblái" xfId="21"/>
    <cellStyle name="Normál_bejárók 2006 - 2005 stat" xfId="22"/>
    <cellStyle name="Normál_Egyéb elemzések Kv.Biz." xfId="23"/>
    <cellStyle name="Normál_helyi adó 1998 -2002" xfId="24"/>
    <cellStyle name="Normál_Hivatal int tervjavaslat2004kvbiz0110" xfId="25"/>
    <cellStyle name="Normál_Intézm.műk.és szintrehozási szint" xfId="26"/>
    <cellStyle name="Normál_Itiner 2006 költségvetés (version 1)" xfId="27"/>
    <cellStyle name="Normál_Közgy.köt.váll (2006.09.26.)" xfId="28"/>
    <cellStyle name="Normál_Közgy.kötelezettségvállalás1028" xfId="29"/>
    <cellStyle name="Normál_Módosítás 12.14" xfId="30"/>
    <cellStyle name="Normál_Szolnok hitelállománya 060930" xfId="31"/>
    <cellStyle name="Currency" xfId="32"/>
    <cellStyle name="Currency [0]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Bevételek alakulása 2000-2009.                                                                                                          
 (millió Ft)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4925"/>
          <c:w val="0.86875"/>
          <c:h val="0.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'2.Bevételek 98-tól'!$B$56</c:f>
              <c:strCache>
                <c:ptCount val="1"/>
                <c:pt idx="0">
                  <c:v>Saját bevételek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'2.Bevételek 98-tól'!$D$55:$M$55</c:f>
              <c:strCache/>
            </c:strRef>
          </c:cat>
          <c:val>
            <c:numRef>
              <c:f>'2.Bevételek 98-tól'!$D$56:$M$56</c:f>
              <c:numCache/>
            </c:numRef>
          </c:val>
        </c:ser>
        <c:ser>
          <c:idx val="1"/>
          <c:order val="1"/>
          <c:tx>
            <c:strRef>
              <c:f>'2.Bevételek 98-tól'!$B$57</c:f>
              <c:strCache>
                <c:ptCount val="1"/>
                <c:pt idx="0">
                  <c:v>Államtól működésre kapott össz.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'2.Bevételek 98-tól'!$D$55:$M$55</c:f>
              <c:strCache/>
            </c:strRef>
          </c:cat>
          <c:val>
            <c:numRef>
              <c:f>'2.Bevételek 98-tól'!$D$57:$M$57</c:f>
              <c:numCache/>
            </c:numRef>
          </c:val>
        </c:ser>
        <c:ser>
          <c:idx val="2"/>
          <c:order val="2"/>
          <c:tx>
            <c:strRef>
              <c:f>'2.Bevételek 98-tól'!$B$58</c:f>
              <c:strCache>
                <c:ptCount val="1"/>
                <c:pt idx="0">
                  <c:v>Államtól fejlesztésre kapott össz.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'2.Bevételek 98-tól'!$D$55:$M$55</c:f>
              <c:strCache/>
            </c:strRef>
          </c:cat>
          <c:val>
            <c:numRef>
              <c:f>'2.Bevételek 98-tól'!$D$58:$M$58</c:f>
              <c:numCache/>
            </c:numRef>
          </c:val>
        </c:ser>
        <c:ser>
          <c:idx val="3"/>
          <c:order val="3"/>
          <c:tx>
            <c:strRef>
              <c:f>'2.Bevételek 98-tól'!$B$59</c:f>
              <c:strCache>
                <c:ptCount val="1"/>
                <c:pt idx="0">
                  <c:v>Egyéb fejlesztésre átvett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'2.Bevételek 98-tól'!$D$55:$M$55</c:f>
              <c:strCache/>
            </c:strRef>
          </c:cat>
          <c:val>
            <c:numRef>
              <c:f>'2.Bevételek 98-tól'!$D$59:$M$59</c:f>
              <c:numCache/>
            </c:numRef>
          </c:val>
        </c:ser>
        <c:ser>
          <c:idx val="4"/>
          <c:order val="4"/>
          <c:tx>
            <c:strRef>
              <c:f>'2.Bevételek 98-tól'!$B$60</c:f>
              <c:strCache>
                <c:ptCount val="1"/>
                <c:pt idx="0">
                  <c:v>Hitel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'2.Bevételek 98-tól'!$D$55:$M$55</c:f>
              <c:strCache/>
            </c:strRef>
          </c:cat>
          <c:val>
            <c:numRef>
              <c:f>'2.Bevételek 98-tól'!$D$60:$M$60</c:f>
              <c:numCache/>
            </c:numRef>
          </c:val>
        </c:ser>
        <c:ser>
          <c:idx val="5"/>
          <c:order val="5"/>
          <c:tx>
            <c:strRef>
              <c:f>'2.Bevételek 98-tól'!$B$61</c:f>
              <c:strCache>
                <c:ptCount val="1"/>
                <c:pt idx="0">
                  <c:v>Pénzügyi (technikai) elszámolás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'2.Bevételek 98-tól'!$D$55:$M$55</c:f>
              <c:strCache/>
            </c:strRef>
          </c:cat>
          <c:val>
            <c:numRef>
              <c:f>'2.Bevételek 98-tól'!$D$61:$M$61</c:f>
              <c:numCache/>
            </c:numRef>
          </c:val>
        </c:ser>
        <c:axId val="55494474"/>
        <c:axId val="29688219"/>
      </c:barChart>
      <c:catAx>
        <c:axId val="5549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9688219"/>
        <c:crosses val="autoZero"/>
        <c:auto val="1"/>
        <c:lblOffset val="100"/>
        <c:noMultiLvlLbl val="0"/>
      </c:catAx>
      <c:valAx>
        <c:axId val="296882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4944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18575"/>
          <c:w val="0.11925"/>
          <c:h val="0.60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Önkormányzat kiadásai szerkezete 1998-2006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tx>
            <c:strRef>
              <c:f>'[1]Kiadások 98-tól'!$A$90</c:f>
              <c:strCache>
                <c:ptCount val="1"/>
                <c:pt idx="0">
                  <c:v>Bér és járulék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'[1]Kiadások 98-tól'!$B$89:$J$89</c:f>
              <c:str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 terv</c:v>
                </c:pt>
              </c:strCache>
            </c:strRef>
          </c:cat>
          <c:val>
            <c:numRef>
              <c:f>'[1]Kiadások 98-tól'!$B$90:$J$90</c:f>
              <c:numCache>
                <c:ptCount val="9"/>
                <c:pt idx="0">
                  <c:v>4208240</c:v>
                </c:pt>
                <c:pt idx="1">
                  <c:v>4777712</c:v>
                </c:pt>
                <c:pt idx="2">
                  <c:v>4983642</c:v>
                </c:pt>
                <c:pt idx="3">
                  <c:v>5827464</c:v>
                </c:pt>
                <c:pt idx="4">
                  <c:v>7209983</c:v>
                </c:pt>
                <c:pt idx="5">
                  <c:v>9062760</c:v>
                </c:pt>
                <c:pt idx="6">
                  <c:v>9221611</c:v>
                </c:pt>
                <c:pt idx="7">
                  <c:v>9993605</c:v>
                </c:pt>
                <c:pt idx="8">
                  <c:v>10181257</c:v>
                </c:pt>
              </c:numCache>
            </c:numRef>
          </c:val>
        </c:ser>
        <c:ser>
          <c:idx val="1"/>
          <c:order val="1"/>
          <c:tx>
            <c:strRef>
              <c:f>'[1]Kiadások 98-tól'!$A$91</c:f>
              <c:strCache>
                <c:ptCount val="1"/>
                <c:pt idx="0">
                  <c:v>Felhalmozási kiadás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'[1]Kiadások 98-tól'!$B$89:$J$89</c:f>
              <c:str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 terv</c:v>
                </c:pt>
              </c:strCache>
            </c:strRef>
          </c:cat>
          <c:val>
            <c:numRef>
              <c:f>'[1]Kiadások 98-tól'!$B$91:$J$91</c:f>
              <c:numCache>
                <c:ptCount val="9"/>
                <c:pt idx="0">
                  <c:v>2425962</c:v>
                </c:pt>
                <c:pt idx="1">
                  <c:v>1799580</c:v>
                </c:pt>
                <c:pt idx="2">
                  <c:v>2203550</c:v>
                </c:pt>
                <c:pt idx="3">
                  <c:v>5126577</c:v>
                </c:pt>
                <c:pt idx="4">
                  <c:v>3028663</c:v>
                </c:pt>
                <c:pt idx="5">
                  <c:v>1773290</c:v>
                </c:pt>
                <c:pt idx="6">
                  <c:v>2616472</c:v>
                </c:pt>
                <c:pt idx="7">
                  <c:v>4269455</c:v>
                </c:pt>
                <c:pt idx="8">
                  <c:v>6770434</c:v>
                </c:pt>
              </c:numCache>
            </c:numRef>
          </c:val>
        </c:ser>
        <c:ser>
          <c:idx val="2"/>
          <c:order val="2"/>
          <c:tx>
            <c:strRef>
              <c:f>'[1]Kiadások 98-tól'!$A$92</c:f>
              <c:strCache>
                <c:ptCount val="1"/>
                <c:pt idx="0">
                  <c:v>Működési kiadás</c:v>
                </c:pt>
              </c:strCache>
            </c:strRef>
          </c:tx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'[1]Kiadások 98-tól'!$B$89:$J$89</c:f>
              <c:strCache>
                <c:ptCount val="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 terv</c:v>
                </c:pt>
              </c:strCache>
            </c:strRef>
          </c:cat>
          <c:val>
            <c:numRef>
              <c:f>'[1]Kiadások 98-tól'!$B$92:$J$92</c:f>
              <c:numCache>
                <c:ptCount val="9"/>
                <c:pt idx="0">
                  <c:v>4913636</c:v>
                </c:pt>
                <c:pt idx="1">
                  <c:v>5505898</c:v>
                </c:pt>
                <c:pt idx="2">
                  <c:v>7060590</c:v>
                </c:pt>
                <c:pt idx="3">
                  <c:v>9610834</c:v>
                </c:pt>
                <c:pt idx="4">
                  <c:v>9359603</c:v>
                </c:pt>
                <c:pt idx="5">
                  <c:v>11662567</c:v>
                </c:pt>
                <c:pt idx="6">
                  <c:v>8149588</c:v>
                </c:pt>
                <c:pt idx="7">
                  <c:v>10909516</c:v>
                </c:pt>
                <c:pt idx="8">
                  <c:v>7081541</c:v>
                </c:pt>
              </c:numCache>
            </c:numRef>
          </c:val>
        </c:ser>
        <c:axId val="30419012"/>
        <c:axId val="5335653"/>
      </c:area3DChart>
      <c:catAx>
        <c:axId val="3041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35653"/>
        <c:crosses val="autoZero"/>
        <c:auto val="1"/>
        <c:lblOffset val="100"/>
        <c:noMultiLvlLbl val="0"/>
      </c:catAx>
      <c:valAx>
        <c:axId val="5335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1901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Személyi jellegű ráfordítás és az állami támogatás alakulása 2000-2006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'[1]Kiadások 98-tól'!$A$115</c:f>
              <c:strCache>
                <c:ptCount val="1"/>
                <c:pt idx="0">
                  <c:v>Önkormányzati bér és járulék 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'[1]Kiadások 98-tól'!$B$114:$H$114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'[1]Kiadások 98-tól'!$B$115:$H$115</c:f>
              <c:numCache>
                <c:ptCount val="7"/>
                <c:pt idx="0">
                  <c:v>4984</c:v>
                </c:pt>
                <c:pt idx="1">
                  <c:v>5827</c:v>
                </c:pt>
                <c:pt idx="2">
                  <c:v>7210</c:v>
                </c:pt>
                <c:pt idx="3">
                  <c:v>9063</c:v>
                </c:pt>
                <c:pt idx="4">
                  <c:v>9222</c:v>
                </c:pt>
                <c:pt idx="5">
                  <c:v>9994</c:v>
                </c:pt>
                <c:pt idx="6">
                  <c:v>10181</c:v>
                </c:pt>
              </c:numCache>
            </c:numRef>
          </c:val>
        </c:ser>
        <c:ser>
          <c:idx val="1"/>
          <c:order val="1"/>
          <c:tx>
            <c:strRef>
              <c:f>'[1]Kiadások 98-tól'!$A$116</c:f>
              <c:strCache>
                <c:ptCount val="1"/>
                <c:pt idx="0">
                  <c:v>Államtól működésre kapott millió 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'[1]Kiadások 98-tól'!$B$114:$H$114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'[1]Kiadások 98-tól'!$B$116:$H$116</c:f>
              <c:numCache>
                <c:ptCount val="7"/>
                <c:pt idx="0">
                  <c:v>6161</c:v>
                </c:pt>
                <c:pt idx="1">
                  <c:v>6389</c:v>
                </c:pt>
                <c:pt idx="2">
                  <c:v>7769</c:v>
                </c:pt>
                <c:pt idx="3">
                  <c:v>9711</c:v>
                </c:pt>
                <c:pt idx="4">
                  <c:v>10442</c:v>
                </c:pt>
                <c:pt idx="5">
                  <c:v>11253</c:v>
                </c:pt>
                <c:pt idx="6">
                  <c:v>9719</c:v>
                </c:pt>
              </c:numCache>
            </c:numRef>
          </c:val>
        </c:ser>
        <c:axId val="48020878"/>
        <c:axId val="29534719"/>
      </c:barChart>
      <c:catAx>
        <c:axId val="4802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34719"/>
        <c:crosses val="autoZero"/>
        <c:auto val="1"/>
        <c:lblOffset val="100"/>
        <c:noMultiLvlLbl val="0"/>
      </c:catAx>
      <c:valAx>
        <c:axId val="29534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20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Intézményi személyi jellegű ráfordítás és az állami támogatások alakulása 2000-2006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'[1]Kiadások 98-tól'!$A$138</c:f>
              <c:strCache>
                <c:ptCount val="1"/>
                <c:pt idx="0">
                  <c:v>Intézményi bér és járulék millió Ft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'[1]Kiadások 98-tól'!$B$137:$H$137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'[1]Kiadások 98-tól'!$B$138:$H$138</c:f>
              <c:numCache>
                <c:ptCount val="7"/>
                <c:pt idx="0">
                  <c:v>4366</c:v>
                </c:pt>
                <c:pt idx="1">
                  <c:v>5007</c:v>
                </c:pt>
                <c:pt idx="2">
                  <c:v>6262</c:v>
                </c:pt>
                <c:pt idx="3">
                  <c:v>7940</c:v>
                </c:pt>
                <c:pt idx="4">
                  <c:v>8101</c:v>
                </c:pt>
                <c:pt idx="5">
                  <c:v>8702</c:v>
                </c:pt>
                <c:pt idx="6">
                  <c:v>8892</c:v>
                </c:pt>
              </c:numCache>
            </c:numRef>
          </c:val>
        </c:ser>
        <c:ser>
          <c:idx val="1"/>
          <c:order val="1"/>
          <c:tx>
            <c:strRef>
              <c:f>'[1]Kiadások 98-tól'!$A$139</c:f>
              <c:strCache>
                <c:ptCount val="1"/>
                <c:pt idx="0">
                  <c:v>Államtól működésre kapott millió 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'[1]Kiadások 98-tól'!$B$137:$H$137</c:f>
              <c:num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numCache>
            </c:numRef>
          </c:cat>
          <c:val>
            <c:numRef>
              <c:f>'[1]Kiadások 98-tól'!$B$139:$H$139</c:f>
              <c:numCache>
                <c:ptCount val="7"/>
                <c:pt idx="0">
                  <c:v>6161</c:v>
                </c:pt>
                <c:pt idx="1">
                  <c:v>6389</c:v>
                </c:pt>
                <c:pt idx="2">
                  <c:v>7769</c:v>
                </c:pt>
                <c:pt idx="3">
                  <c:v>9711</c:v>
                </c:pt>
                <c:pt idx="4">
                  <c:v>10442</c:v>
                </c:pt>
                <c:pt idx="5">
                  <c:v>11253</c:v>
                </c:pt>
                <c:pt idx="6">
                  <c:v>9719</c:v>
                </c:pt>
              </c:numCache>
            </c:numRef>
          </c:val>
        </c:ser>
        <c:axId val="64485880"/>
        <c:axId val="43502009"/>
      </c:barChart>
      <c:catAx>
        <c:axId val="6448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02009"/>
        <c:crosses val="autoZero"/>
        <c:auto val="1"/>
        <c:lblOffset val="100"/>
        <c:noMultiLvlLbl val="0"/>
      </c:catAx>
      <c:valAx>
        <c:axId val="435020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485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Polgármesteri Hivatal kiadási összetétele                                                               2000-2007. években</a:t>
            </a:r>
          </a:p>
        </c:rich>
      </c:tx>
      <c:layout>
        <c:manualLayout>
          <c:xMode val="factor"/>
          <c:yMode val="factor"/>
          <c:x val="-0.001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73"/>
          <c:w val="0.758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'3b PH kiad '!$K$11</c:f>
              <c:strCache>
                <c:ptCount val="1"/>
                <c:pt idx="0">
                  <c:v>Bér és járulék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'3b PH kiad '!$L$10:$S$10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'3b PH kiad '!$L$11:$S$11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'3b PH kiad '!$K$12</c:f>
              <c:strCache>
                <c:ptCount val="1"/>
                <c:pt idx="0">
                  <c:v>Felhalmozási kiadás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'3b PH kiad '!$L$10:$S$10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'3b PH kiad '!$L$12:$S$12</c:f>
            </c:numRef>
          </c:val>
        </c:ser>
        <c:ser>
          <c:idx val="2"/>
          <c:order val="2"/>
          <c:tx>
            <c:strRef>
              <c:f>'3b PH kiad '!$K$13</c:f>
              <c:strCache>
                <c:ptCount val="1"/>
                <c:pt idx="0">
                  <c:v>Működési kiadás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'3b PH kiad '!$L$10:$S$10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'3b PH kiad '!$L$13:$S$13</c:f>
            </c:numRef>
          </c:val>
        </c:ser>
        <c:axId val="55973762"/>
        <c:axId val="34001811"/>
      </c:barChart>
      <c:catAx>
        <c:axId val="55973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4001811"/>
        <c:crosses val="autoZero"/>
        <c:auto val="1"/>
        <c:lblOffset val="100"/>
        <c:noMultiLvlLbl val="0"/>
      </c:catAx>
      <c:valAx>
        <c:axId val="34001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5973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Működési és felhalmozási forráshiány alakulása      
2000-2007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5275"/>
          <c:w val="0.75125"/>
          <c:h val="0.81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'5.Költségvetési hiány'!$A$28:$B$28</c:f>
              <c:strCache>
                <c:ptCount val="1"/>
                <c:pt idx="0">
                  <c:v>Működési forráshiány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'5.Költségvetési hiány'!$C$27:$J$27</c:f>
              <c:strCache/>
            </c:strRef>
          </c:cat>
          <c:val>
            <c:numRef>
              <c:f>'5.Költségvetési hiány'!$C$28:$J$28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'5.Költségvetési hiány'!$A$29:$B$29</c:f>
              <c:strCache>
                <c:ptCount val="1"/>
                <c:pt idx="0">
                  <c:v>Felhalmozási forráshiány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'5.Költségvetési hiány'!$C$27:$J$27</c:f>
              <c:strCache/>
            </c:strRef>
          </c:cat>
          <c:val>
            <c:numRef>
              <c:f>'5.Költségvetési hiány'!$C$29:$J$29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overlap val="100"/>
        <c:shape val="box"/>
        <c:axId val="37580844"/>
        <c:axId val="2683277"/>
      </c:bar3DChart>
      <c:catAx>
        <c:axId val="3758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2683277"/>
        <c:crosses val="autoZero"/>
        <c:auto val="1"/>
        <c:lblOffset val="100"/>
        <c:tickLblSkip val="1"/>
        <c:noMultiLvlLbl val="0"/>
      </c:catAx>
      <c:valAx>
        <c:axId val="2683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5808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075"/>
          <c:y val="0.44075"/>
          <c:w val="0.16925"/>
          <c:h val="0.25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Működési és felhalmozási forráshiány alakulása 2000-2007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105"/>
          <c:w val="0.77525"/>
          <c:h val="0.86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'5.Költségvetési hiány'!$A$23:$B$23</c:f>
              <c:strCache>
                <c:ptCount val="1"/>
                <c:pt idx="0">
                  <c:v>Működési forráshiány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'5.Költségvetési hiány'!$C$22:$J$22</c:f>
              <c:strCache/>
            </c:strRef>
          </c:cat>
          <c:val>
            <c:numRef>
              <c:f>'5.Költségvetési hiány'!$C$23:$J$23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'5.Költségvetési hiány'!$A$24:$B$24</c:f>
              <c:strCache>
                <c:ptCount val="1"/>
                <c:pt idx="0">
                  <c:v>Felhalmozási forráshiány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'5.Költségvetési hiány'!$C$22:$J$22</c:f>
              <c:strCache/>
            </c:strRef>
          </c:cat>
          <c:val>
            <c:numRef>
              <c:f>'5.Költségvetési hiány'!$C$24:$J$24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overlap val="100"/>
        <c:shape val="box"/>
        <c:axId val="24149494"/>
        <c:axId val="16018855"/>
      </c:bar3DChart>
      <c:catAx>
        <c:axId val="24149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16018855"/>
        <c:crosses val="autoZero"/>
        <c:auto val="1"/>
        <c:lblOffset val="100"/>
        <c:noMultiLvlLbl val="0"/>
      </c:catAx>
      <c:valAx>
        <c:axId val="160188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1494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"/>
          <c:y val="0.3565"/>
          <c:w val="0.17225"/>
          <c:h val="0.33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Szállítói állomány alakulása 1998-2005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7675"/>
          <c:w val="0.912"/>
          <c:h val="0.78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'6 köv-köt'!$B$39:$E$39</c:f>
              <c:strCache>
                <c:ptCount val="1"/>
                <c:pt idx="0">
                  <c:v>Szállítói állomány alakulása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 köv-köt'!$F$38:$M$38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'6 köv-köt'!$F$39:$M$39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overlap val="100"/>
        <c:shape val="box"/>
        <c:axId val="9951968"/>
        <c:axId val="22458849"/>
      </c:bar3DChart>
      <c:catAx>
        <c:axId val="9951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458849"/>
        <c:crosses val="autoZero"/>
        <c:auto val="1"/>
        <c:lblOffset val="100"/>
        <c:noMultiLvlLbl val="0"/>
      </c:catAx>
      <c:valAx>
        <c:axId val="224588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5196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Hitelállomány alakulása 1998-2006.09.30.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425"/>
          <c:y val="0.15275"/>
          <c:w val="0.80325"/>
          <c:h val="0.780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'6 köv-köt'!$B$33:$E$33</c:f>
              <c:strCache>
                <c:ptCount val="1"/>
                <c:pt idx="0">
                  <c:v>Hosszú lejáratú hitel+ kölcsön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 köv-köt'!$F$32:$N$32</c:f>
              <c:str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'6 köv-köt'!$F$33:$N$33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'6 köv-köt'!$B$34:$E$34</c:f>
              <c:strCache>
                <c:ptCount val="1"/>
                <c:pt idx="0">
                  <c:v>Rövid lejáratú hitelek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 köv-köt'!$F$32:$N$32</c:f>
              <c:str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'6 köv-köt'!$F$34:$N$34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overlap val="100"/>
        <c:shape val="box"/>
        <c:axId val="803050"/>
        <c:axId val="7227451"/>
      </c:bar3DChart>
      <c:catAx>
        <c:axId val="80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227451"/>
        <c:crosses val="autoZero"/>
        <c:auto val="1"/>
        <c:lblOffset val="100"/>
        <c:noMultiLvlLbl val="0"/>
      </c:catAx>
      <c:valAx>
        <c:axId val="7227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3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2375"/>
          <c:w val="0.12825"/>
          <c:h val="0.628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Követelésállomány alakuása 1998-2005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825"/>
          <c:w val="0.75375"/>
          <c:h val="0.78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'6 köv-köt'!$B$87:$E$87</c:f>
              <c:strCache>
                <c:ptCount val="1"/>
                <c:pt idx="0">
                  <c:v>Hosszúlejáratú követelések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 köv-köt'!$F$86:$M$86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'6 köv-köt'!$F$87:$M$87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'6 köv-köt'!$B$88:$E$88</c:f>
              <c:strCache>
                <c:ptCount val="1"/>
                <c:pt idx="0">
                  <c:v>Rövidlejáratú követelések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 köv-köt'!$F$86:$M$86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'6 köv-köt'!$F$88:$M$88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overlap val="100"/>
        <c:shape val="box"/>
        <c:axId val="65047060"/>
        <c:axId val="48552629"/>
      </c:bar3DChart>
      <c:catAx>
        <c:axId val="6504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552629"/>
        <c:crosses val="autoZero"/>
        <c:auto val="1"/>
        <c:lblOffset val="100"/>
        <c:noMultiLvlLbl val="0"/>
      </c:catAx>
      <c:valAx>
        <c:axId val="48552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47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25"/>
          <c:y val="0.241"/>
          <c:w val="0.1815"/>
          <c:h val="0.40875"/>
        </c:manualLayout>
      </c:layout>
      <c:overlay val="0"/>
    </c:legend>
    <c:floor>
      <c:thickness val="0"/>
    </c:floor>
    <c:side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area3DChart>
        <c:grouping val="stacked"/>
        <c:varyColors val="0"/>
        <c:ser>
          <c:idx val="0"/>
          <c:order val="0"/>
          <c:tx>
            <c:strRef>
              <c:f>'2.Bevételek 98-tól'!#REF!</c:f>
              <c:strCache>
                <c:ptCount val="1"/>
                <c:pt idx="0">
                  <c:v>#HIV!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'2.Bevételek 98-tól'!$B$56:$L$56</c:f>
              <c:numCache>
                <c:ptCount val="10"/>
                <c:pt idx="1">
                  <c:v>5672</c:v>
                </c:pt>
                <c:pt idx="2">
                  <c:v>7892</c:v>
                </c:pt>
                <c:pt idx="3">
                  <c:v>7674</c:v>
                </c:pt>
                <c:pt idx="4">
                  <c:v>6909</c:v>
                </c:pt>
                <c:pt idx="5">
                  <c:v>6870</c:v>
                </c:pt>
                <c:pt idx="6">
                  <c:v>8177</c:v>
                </c:pt>
                <c:pt idx="7">
                  <c:v>7690</c:v>
                </c:pt>
                <c:pt idx="8">
                  <c:v>7361</c:v>
                </c:pt>
                <c:pt idx="9">
                  <c:v>7758</c:v>
                </c:pt>
              </c:numCache>
            </c:numRef>
          </c:val>
        </c:ser>
        <c:ser>
          <c:idx val="1"/>
          <c:order val="1"/>
          <c:tx>
            <c:strRef>
              <c:f>'2.Bevételek 98-tól'!#REF!</c:f>
              <c:strCache>
                <c:ptCount val="1"/>
                <c:pt idx="0">
                  <c:v>#HIV!</c:v>
                </c:pt>
              </c:strCache>
            </c:strRef>
          </c:tx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'2.Bevételek 98-tól'!$B$57:$L$57</c:f>
              <c:numCache>
                <c:ptCount val="10"/>
                <c:pt idx="1">
                  <c:v>6161</c:v>
                </c:pt>
                <c:pt idx="2">
                  <c:v>6389</c:v>
                </c:pt>
                <c:pt idx="3">
                  <c:v>7769</c:v>
                </c:pt>
                <c:pt idx="4">
                  <c:v>9711</c:v>
                </c:pt>
                <c:pt idx="5">
                  <c:v>10442</c:v>
                </c:pt>
                <c:pt idx="6">
                  <c:v>11253</c:v>
                </c:pt>
                <c:pt idx="7">
                  <c:v>11135</c:v>
                </c:pt>
                <c:pt idx="8">
                  <c:v>10643</c:v>
                </c:pt>
                <c:pt idx="9">
                  <c:v>8830</c:v>
                </c:pt>
              </c:numCache>
            </c:numRef>
          </c:val>
        </c:ser>
        <c:ser>
          <c:idx val="2"/>
          <c:order val="2"/>
          <c:tx>
            <c:strRef>
              <c:f>'2.Bevételek 98-tól'!#REF!</c:f>
              <c:strCache>
                <c:ptCount val="1"/>
                <c:pt idx="0">
                  <c:v>#HIV!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'2.Bevételek 98-tól'!$B$58:$L$58</c:f>
              <c:numCache>
                <c:ptCount val="10"/>
                <c:pt idx="1">
                  <c:v>763</c:v>
                </c:pt>
                <c:pt idx="2">
                  <c:v>2657</c:v>
                </c:pt>
                <c:pt idx="3">
                  <c:v>1580</c:v>
                </c:pt>
                <c:pt idx="4">
                  <c:v>722</c:v>
                </c:pt>
                <c:pt idx="5">
                  <c:v>1389</c:v>
                </c:pt>
                <c:pt idx="6">
                  <c:v>2220</c:v>
                </c:pt>
                <c:pt idx="7">
                  <c:v>1489</c:v>
                </c:pt>
                <c:pt idx="8">
                  <c:v>297</c:v>
                </c:pt>
                <c:pt idx="9">
                  <c:v>864</c:v>
                </c:pt>
              </c:numCache>
            </c:numRef>
          </c:val>
        </c:ser>
        <c:ser>
          <c:idx val="3"/>
          <c:order val="3"/>
          <c:tx>
            <c:strRef>
              <c:f>'2.Bevételek 98-tól'!#REF!</c:f>
              <c:strCache>
                <c:ptCount val="1"/>
                <c:pt idx="0">
                  <c:v>#HIV!</c:v>
                </c:pt>
              </c:strCache>
            </c:strRef>
          </c:tx>
          <c:spPr>
            <a:solidFill>
              <a:srgbClr val="0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'2.Bevételek 98-tól'!$B$59:$L$59</c:f>
              <c:numCache>
                <c:ptCount val="10"/>
                <c:pt idx="1">
                  <c:v>1058</c:v>
                </c:pt>
                <c:pt idx="2">
                  <c:v>1532</c:v>
                </c:pt>
                <c:pt idx="3">
                  <c:v>382</c:v>
                </c:pt>
                <c:pt idx="4">
                  <c:v>129</c:v>
                </c:pt>
                <c:pt idx="5">
                  <c:v>474</c:v>
                </c:pt>
                <c:pt idx="6">
                  <c:v>367</c:v>
                </c:pt>
                <c:pt idx="7">
                  <c:v>2854</c:v>
                </c:pt>
                <c:pt idx="8">
                  <c:v>1406</c:v>
                </c:pt>
                <c:pt idx="9">
                  <c:v>119</c:v>
                </c:pt>
              </c:numCache>
            </c:numRef>
          </c:val>
        </c:ser>
        <c:ser>
          <c:idx val="4"/>
          <c:order val="4"/>
          <c:tx>
            <c:strRef>
              <c:f>'2.Bevételek 98-tól'!#REF!</c:f>
              <c:strCache>
                <c:ptCount val="1"/>
                <c:pt idx="0">
                  <c:v>#HIV!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'2.Bevételek 98-tól'!$B$60:$L$60</c:f>
              <c:numCache>
                <c:ptCount val="10"/>
                <c:pt idx="1">
                  <c:v>1063</c:v>
                </c:pt>
                <c:pt idx="2">
                  <c:v>2801</c:v>
                </c:pt>
                <c:pt idx="3">
                  <c:v>2058</c:v>
                </c:pt>
                <c:pt idx="4">
                  <c:v>988</c:v>
                </c:pt>
                <c:pt idx="5">
                  <c:v>1495</c:v>
                </c:pt>
                <c:pt idx="6">
                  <c:v>1053</c:v>
                </c:pt>
                <c:pt idx="7">
                  <c:v>1115</c:v>
                </c:pt>
                <c:pt idx="8">
                  <c:v>2467</c:v>
                </c:pt>
                <c:pt idx="9">
                  <c:v>3291</c:v>
                </c:pt>
              </c:numCache>
            </c:numRef>
          </c:val>
        </c:ser>
        <c:ser>
          <c:idx val="5"/>
          <c:order val="5"/>
          <c:tx>
            <c:strRef>
              <c:f>'2.Bevételek 98-tól'!#REF!</c:f>
              <c:strCache>
                <c:ptCount val="1"/>
                <c:pt idx="0">
                  <c:v>#HIV!</c:v>
                </c:pt>
              </c:strCache>
            </c:strRef>
          </c:tx>
          <c:spPr>
            <a:solidFill>
              <a:srgbClr val="FF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'2.Bevételek 98-tól'!$B$61:$L$61</c:f>
              <c:numCache>
                <c:ptCount val="10"/>
                <c:pt idx="1">
                  <c:v>0</c:v>
                </c:pt>
                <c:pt idx="2">
                  <c:v>177</c:v>
                </c:pt>
                <c:pt idx="3">
                  <c:v>990</c:v>
                </c:pt>
                <c:pt idx="4">
                  <c:v>3984</c:v>
                </c:pt>
                <c:pt idx="5">
                  <c:v>11</c:v>
                </c:pt>
                <c:pt idx="6">
                  <c:v>2919</c:v>
                </c:pt>
                <c:pt idx="7">
                  <c:v>5310</c:v>
                </c:pt>
                <c:pt idx="8">
                  <c:v>7903</c:v>
                </c:pt>
                <c:pt idx="9">
                  <c:v>0</c:v>
                </c:pt>
              </c:numCache>
            </c:numRef>
          </c:val>
        </c:ser>
        <c:axId val="34320478"/>
        <c:axId val="40448847"/>
      </c:area3DChart>
      <c:catAx>
        <c:axId val="34320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448847"/>
        <c:crosses val="autoZero"/>
        <c:auto val="1"/>
        <c:lblOffset val="100"/>
        <c:noMultiLvlLbl val="0"/>
      </c:catAx>
      <c:valAx>
        <c:axId val="40448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2047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Helyi adóbevételek alakulása 2000-2009. években                                                    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105"/>
          <c:w val="0.786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'2b helyi adók'!$B$52:$F$52</c:f>
              <c:strCache>
                <c:ptCount val="1"/>
                <c:pt idx="0">
                  <c:v>iparűzési adóból befolyt összeg (mFt )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'2b helyi adók'!$H$51:$R$51</c:f>
              <c:strCache/>
            </c:strRef>
          </c:cat>
          <c:val>
            <c:numRef>
              <c:f>'2b helyi adók'!$H$52:$R$52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'2b helyi adók'!$B$53:$F$53</c:f>
              <c:strCache>
                <c:ptCount val="1"/>
                <c:pt idx="0">
                  <c:v>építmény adóból befolyt összeg (mFt 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'2b helyi adók'!$H$51:$R$51</c:f>
              <c:strCache/>
            </c:strRef>
          </c:cat>
          <c:val>
            <c:numRef>
              <c:f>'2b helyi adók'!$G$53:$R$53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5867380"/>
        <c:axId val="55935509"/>
      </c:barChart>
      <c:catAx>
        <c:axId val="6586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5935509"/>
        <c:crosses val="autoZero"/>
        <c:auto val="1"/>
        <c:lblOffset val="100"/>
        <c:noMultiLvlLbl val="0"/>
      </c:catAx>
      <c:valAx>
        <c:axId val="5593550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25" b="0" i="0" u="none" baseline="0"/>
            </a:pPr>
          </a:p>
        </c:txPr>
        <c:crossAx val="65867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25"/>
          <c:y val="0.41275"/>
          <c:w val="0.16125"/>
          <c:h val="0.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Ingatlan értékesítésből származó bevételek 2000-2009. években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05"/>
          <c:w val="0.768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'2aVagyonhaszn bevét 98-tól'!$Q$97</c:f>
              <c:strCache>
                <c:ptCount val="1"/>
                <c:pt idx="0">
                  <c:v>Telekértékesítés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'2aVagyonhaszn bevét 98-tól'!$T$96:$AC$96</c:f>
              <c:strCache/>
            </c:strRef>
          </c:cat>
          <c:val>
            <c:numRef>
              <c:f>'2aVagyonhaszn bevét 98-tól'!$T$97:$AC$97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'2aVagyonhaszn bevét 98-tól'!$Q$98</c:f>
              <c:strCache>
                <c:ptCount val="1"/>
                <c:pt idx="0">
                  <c:v>Helyiségértékesítés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'2aVagyonhaszn bevét 98-tól'!$T$96:$AC$96</c:f>
              <c:strCache/>
            </c:strRef>
          </c:cat>
          <c:val>
            <c:numRef>
              <c:f>'2aVagyonhaszn bevét 98-tól'!$T$98:$AC$98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'2aVagyonhaszn bevét 98-tól'!$Q$99</c:f>
              <c:strCache>
                <c:ptCount val="1"/>
                <c:pt idx="0">
                  <c:v>Lakás, egyéb vagyon eladás</c:v>
                </c:pt>
              </c:strCache>
            </c:strRef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'2aVagyonhaszn bevét 98-tól'!$T$96:$AC$96</c:f>
              <c:strCache/>
            </c:strRef>
          </c:cat>
          <c:val>
            <c:numRef>
              <c:f>'2aVagyonhaszn bevét 98-tól'!$T$99:$AC$99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3657534"/>
        <c:axId val="34482351"/>
      </c:barChart>
      <c:catAx>
        <c:axId val="3365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482351"/>
        <c:crosses val="autoZero"/>
        <c:auto val="1"/>
        <c:lblOffset val="100"/>
        <c:noMultiLvlLbl val="0"/>
      </c:catAx>
      <c:valAx>
        <c:axId val="3448235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657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575"/>
          <c:y val="0.364"/>
          <c:w val="0.19425"/>
          <c:h val="0.37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Egyéb vagyonhasznosítási bevételek 2000-2009. években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625"/>
          <c:w val="0.726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'2aVagyonhaszn bevét 98-tól'!$Q$103</c:f>
              <c:strCache>
                <c:ptCount val="1"/>
                <c:pt idx="0">
                  <c:v>Üzletrész és értékpapír értékesítés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'2aVagyonhaszn bevét 98-tól'!$T$102:$AC$102</c:f>
              <c:strCache/>
            </c:strRef>
          </c:cat>
          <c:val>
            <c:numRef>
              <c:f>'2aVagyonhaszn bevét 98-tól'!$T$103:$AC$103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'2aVagyonhaszn bevét 98-tól'!$Q$104</c:f>
              <c:strCache>
                <c:ptCount val="1"/>
                <c:pt idx="0">
                  <c:v>Helyiségbérleti díjak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'2aVagyonhaszn bevét 98-tól'!$T$102:$AC$102</c:f>
              <c:strCache/>
            </c:strRef>
          </c:cat>
          <c:val>
            <c:numRef>
              <c:f>'2aVagyonhaszn bevét 98-tól'!$T$104:$AC$104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'2aVagyonhaszn bevét 98-tól'!$Q$105</c:f>
              <c:strCache>
                <c:ptCount val="1"/>
                <c:pt idx="0">
                  <c:v>Osztalék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'2aVagyonhaszn bevét 98-tól'!$T$102:$AC$102</c:f>
              <c:strCache/>
            </c:strRef>
          </c:cat>
          <c:val>
            <c:numRef>
              <c:f>'2aVagyonhaszn bevét 98-tól'!$T$105:$AC$105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'2aVagyonhaszn bevét 98-tól'!$Q$106</c:f>
              <c:strCache>
                <c:ptCount val="1"/>
                <c:pt idx="0">
                  <c:v>Koncessziós díj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'2aVagyonhaszn bevét 98-tól'!$T$102:$AC$102</c:f>
              <c:strCache/>
            </c:strRef>
          </c:cat>
          <c:val>
            <c:numRef>
              <c:f>'2aVagyonhaszn bevét 98-tól'!$T$106:$AC$106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1905704"/>
        <c:axId val="41607017"/>
      </c:barChart>
      <c:catAx>
        <c:axId val="4190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607017"/>
        <c:crosses val="autoZero"/>
        <c:auto val="1"/>
        <c:lblOffset val="100"/>
        <c:noMultiLvlLbl val="0"/>
      </c:catAx>
      <c:valAx>
        <c:axId val="4160701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905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25"/>
          <c:y val="0.33525"/>
          <c:w val="0.2275"/>
          <c:h val="0.52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Vagyonhasznosítási bevételek 2000-2009.                                                                                          
(ezer Ft)</a:t>
            </a:r>
          </a:p>
        </c:rich>
      </c:tx>
      <c:layout>
        <c:manualLayout>
          <c:xMode val="factor"/>
          <c:yMode val="factor"/>
          <c:x val="0.028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99"/>
          <c:w val="0.782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'2aVagyonhaszn bevét 98-tól'!$Q$91</c:f>
              <c:strCache>
                <c:ptCount val="1"/>
                <c:pt idx="0">
                  <c:v>Ingatlan értékesítés összesen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'2aVagyonhaszn bevét 98-tól'!$T$90:$AC$90</c:f>
              <c:strCache/>
            </c:strRef>
          </c:cat>
          <c:val>
            <c:numRef>
              <c:f>'2aVagyonhaszn bevét 98-tól'!$T$91:$AC$91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'2aVagyonhaszn bevét 98-tól'!$Q$92</c:f>
              <c:strCache>
                <c:ptCount val="1"/>
                <c:pt idx="0">
                  <c:v>Üzletrész és értékpapír értékesítés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'2aVagyonhaszn bevét 98-tól'!$T$90:$AC$90</c:f>
              <c:strCache/>
            </c:strRef>
          </c:cat>
          <c:val>
            <c:numRef>
              <c:f>'2aVagyonhaszn bevét 98-tól'!$T$92:$AC$92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'2aVagyonhaszn bevét 98-tól'!$Q$93</c:f>
              <c:strCache>
                <c:ptCount val="1"/>
                <c:pt idx="0">
                  <c:v>Egyéb vagyonhasznosítási bevétel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'2aVagyonhaszn bevét 98-tól'!$T$90:$AC$90</c:f>
              <c:strCache/>
            </c:strRef>
          </c:cat>
          <c:val>
            <c:numRef>
              <c:f>'2aVagyonhaszn bevét 98-tól'!$T$93:$AC$93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8918834"/>
        <c:axId val="14725187"/>
      </c:barChart>
      <c:catAx>
        <c:axId val="3891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725187"/>
        <c:crosses val="autoZero"/>
        <c:auto val="1"/>
        <c:lblOffset val="100"/>
        <c:noMultiLvlLbl val="0"/>
      </c:catAx>
      <c:valAx>
        <c:axId val="1472518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918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"/>
          <c:y val="0.26625"/>
          <c:w val="0.188"/>
          <c:h val="0.57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Önkormányzat kiadásai szerkezete 2000-2007.                                                 (ezer Ft)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65"/>
          <c:w val="0.82275"/>
          <c:h val="0.8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'3és 3a Kiadások 98-tól'!$A$75</c:f>
              <c:strCache>
                <c:ptCount val="1"/>
                <c:pt idx="0">
                  <c:v>Bér és járulék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'3és 3a Kiadások 98-tól'!$B$74:$K$74</c:f>
              <c:strCache/>
            </c:strRef>
          </c:cat>
          <c:val>
            <c:numRef>
              <c:f>'3és 3a Kiadások 98-tól'!$B$75:$K$75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'3és 3a Kiadások 98-tól'!$A$76</c:f>
              <c:strCache>
                <c:ptCount val="1"/>
                <c:pt idx="0">
                  <c:v>Felhalmozási kiadás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'3és 3a Kiadások 98-tól'!$B$74:$K$74</c:f>
              <c:strCache/>
            </c:strRef>
          </c:cat>
          <c:val>
            <c:numRef>
              <c:f>'3és 3a Kiadások 98-tól'!$B$76:$K$76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'3és 3a Kiadások 98-tól'!$A$77</c:f>
              <c:strCache>
                <c:ptCount val="1"/>
                <c:pt idx="0">
                  <c:v>Működési kiadás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'3és 3a Kiadások 98-tól'!$B$74:$K$74</c:f>
              <c:strCache/>
            </c:strRef>
          </c:cat>
          <c:val>
            <c:numRef>
              <c:f>'3és 3a Kiadások 98-tól'!$B$77:$K$77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5417820"/>
        <c:axId val="51889469"/>
      </c:barChart>
      <c:catAx>
        <c:axId val="6541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1889469"/>
        <c:crosses val="autoZero"/>
        <c:auto val="1"/>
        <c:lblOffset val="100"/>
        <c:noMultiLvlLbl val="0"/>
      </c:catAx>
      <c:valAx>
        <c:axId val="51889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5417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39075"/>
          <c:w val="0.146"/>
          <c:h val="0.29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Személyi jellegű ráfordítás és az állami támogatás alakulása          
 2000-2007.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9325"/>
          <c:w val="0.7382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'3és 3a Kiadások 98-tól'!$A$135</c:f>
              <c:strCache>
                <c:ptCount val="1"/>
                <c:pt idx="0">
                  <c:v>Önkormányzati bér és járulék 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'3és 3a Kiadások 98-tól'!$D$134:$K$134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'3és 3a Kiadások 98-tól'!$D$135:$K$135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'3és 3a Kiadások 98-tól'!$A$136</c:f>
              <c:strCache>
                <c:ptCount val="1"/>
                <c:pt idx="0">
                  <c:v>Államtól működésre kapott millió 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'3és 3a Kiadások 98-tól'!$D$134:$K$134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'3és 3a Kiadások 98-tól'!$D$136:$K$136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4352038"/>
        <c:axId val="42297431"/>
      </c:barChart>
      <c:catAx>
        <c:axId val="6435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2297431"/>
        <c:crosses val="autoZero"/>
        <c:auto val="1"/>
        <c:lblOffset val="100"/>
        <c:noMultiLvlLbl val="0"/>
      </c:catAx>
      <c:valAx>
        <c:axId val="42297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4352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5"/>
          <c:y val="0.4235"/>
          <c:w val="0.162"/>
          <c:h val="0.31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Intézményi személyi jellegű ráfordítás és az állami támogatások alakulása 2000-2007
</a:t>
            </a:r>
          </a:p>
        </c:rich>
      </c:tx>
      <c:layout>
        <c:manualLayout>
          <c:xMode val="factor"/>
          <c:yMode val="factor"/>
          <c:x val="0.007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22975"/>
          <c:w val="0.73275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'3és 3a Kiadások 98-tól'!$A$158</c:f>
              <c:strCache>
                <c:ptCount val="1"/>
                <c:pt idx="0">
                  <c:v>Intézményi bér és járulék millió Ft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'3és 3a Kiadások 98-tól'!$D$157:$K$157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'3és 3a Kiadások 98-tól'!$D$158:$K$158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'3és 3a Kiadások 98-tól'!$A$159</c:f>
              <c:strCache>
                <c:ptCount val="1"/>
                <c:pt idx="0">
                  <c:v>Államtól működésre kapott millió Ft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'3és 3a Kiadások 98-tól'!$D$157:$K$157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'3és 3a Kiadások 98-tól'!$D$159:$K$159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5132560"/>
        <c:axId val="3539857"/>
      </c:barChart>
      <c:catAx>
        <c:axId val="45132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539857"/>
        <c:crosses val="autoZero"/>
        <c:auto val="1"/>
        <c:lblOffset val="100"/>
        <c:noMultiLvlLbl val="0"/>
      </c:catAx>
      <c:valAx>
        <c:axId val="353985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51325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35725"/>
          <c:w val="0.14975"/>
          <c:h val="0.3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Önkormányzati intézményi kiadásainak szerkezete 2000-2007.                                                       (ezer Ft)</a:t>
            </a:r>
          </a:p>
        </c:rich>
      </c:tx>
      <c:layout>
        <c:manualLayout>
          <c:xMode val="factor"/>
          <c:yMode val="factor"/>
          <c:x val="-0.003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93"/>
          <c:w val="0.658"/>
          <c:h val="0.77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'3és 3a Kiadások 98-tól'!$A$104</c:f>
              <c:strCache>
                <c:ptCount val="1"/>
                <c:pt idx="0">
                  <c:v>Intézményi bér és járulék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'3és 3a Kiadások 98-tól'!$B$103:$K$103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'3és 3a Kiadások 98-tól'!$B$104:$K$104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1"/>
          <c:tx>
            <c:strRef>
              <c:f>'3és 3a Kiadások 98-tól'!$A$105</c:f>
              <c:strCache>
                <c:ptCount val="1"/>
                <c:pt idx="0">
                  <c:v>Intézményi felhalmozási kiadás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'3és 3a Kiadások 98-tól'!$B$103:$K$103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'3és 3a Kiadások 98-tól'!$B$105:$K$105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2"/>
          <c:tx>
            <c:strRef>
              <c:f>'3és 3a Kiadások 98-tól'!$A$106</c:f>
              <c:strCache>
                <c:ptCount val="1"/>
                <c:pt idx="0">
                  <c:v>Intézményi működési kiadás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'3és 3a Kiadások 98-tól'!$B$103:$K$103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'3és 3a Kiadások 98-tól'!$B$106:$K$106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1858714"/>
        <c:axId val="18292971"/>
      </c:barChart>
      <c:catAx>
        <c:axId val="3185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292971"/>
        <c:crosses val="autoZero"/>
        <c:auto val="1"/>
        <c:lblOffset val="100"/>
        <c:noMultiLvlLbl val="0"/>
      </c:catAx>
      <c:valAx>
        <c:axId val="18292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858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30</xdr:row>
      <xdr:rowOff>9525</xdr:rowOff>
    </xdr:from>
    <xdr:to>
      <xdr:col>11</xdr:col>
      <xdr:colOff>657225</xdr:colOff>
      <xdr:row>49</xdr:row>
      <xdr:rowOff>95250</xdr:rowOff>
    </xdr:to>
    <xdr:graphicFrame>
      <xdr:nvGraphicFramePr>
        <xdr:cNvPr id="1" name="Chart 10"/>
        <xdr:cNvGraphicFramePr/>
      </xdr:nvGraphicFramePr>
      <xdr:xfrm>
        <a:off x="552450" y="5800725"/>
        <a:ext cx="92773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21</xdr:row>
      <xdr:rowOff>104775</xdr:rowOff>
    </xdr:from>
    <xdr:to>
      <xdr:col>15</xdr:col>
      <xdr:colOff>0</xdr:colOff>
      <xdr:row>41</xdr:row>
      <xdr:rowOff>66675</xdr:rowOff>
    </xdr:to>
    <xdr:graphicFrame>
      <xdr:nvGraphicFramePr>
        <xdr:cNvPr id="1" name="Chart 2"/>
        <xdr:cNvGraphicFramePr/>
      </xdr:nvGraphicFramePr>
      <xdr:xfrm>
        <a:off x="1343025" y="4819650"/>
        <a:ext cx="70008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63</xdr:row>
      <xdr:rowOff>142875</xdr:rowOff>
    </xdr:from>
    <xdr:to>
      <xdr:col>7</xdr:col>
      <xdr:colOff>57150</xdr:colOff>
      <xdr:row>84</xdr:row>
      <xdr:rowOff>152400</xdr:rowOff>
    </xdr:to>
    <xdr:graphicFrame>
      <xdr:nvGraphicFramePr>
        <xdr:cNvPr id="1" name="Chart 13"/>
        <xdr:cNvGraphicFramePr/>
      </xdr:nvGraphicFramePr>
      <xdr:xfrm>
        <a:off x="85725" y="11534775"/>
        <a:ext cx="51339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533400</xdr:colOff>
      <xdr:row>64</xdr:row>
      <xdr:rowOff>0</xdr:rowOff>
    </xdr:from>
    <xdr:to>
      <xdr:col>13</xdr:col>
      <xdr:colOff>733425</xdr:colOff>
      <xdr:row>84</xdr:row>
      <xdr:rowOff>142875</xdr:rowOff>
    </xdr:to>
    <xdr:graphicFrame>
      <xdr:nvGraphicFramePr>
        <xdr:cNvPr id="2" name="Chart 14"/>
        <xdr:cNvGraphicFramePr/>
      </xdr:nvGraphicFramePr>
      <xdr:xfrm>
        <a:off x="5695950" y="11553825"/>
        <a:ext cx="54006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1828800</xdr:colOff>
      <xdr:row>41</xdr:row>
      <xdr:rowOff>47625</xdr:rowOff>
    </xdr:from>
    <xdr:to>
      <xdr:col>11</xdr:col>
      <xdr:colOff>85725</xdr:colOff>
      <xdr:row>60</xdr:row>
      <xdr:rowOff>133350</xdr:rowOff>
    </xdr:to>
    <xdr:graphicFrame>
      <xdr:nvGraphicFramePr>
        <xdr:cNvPr id="3" name="Chart 15"/>
        <xdr:cNvGraphicFramePr/>
      </xdr:nvGraphicFramePr>
      <xdr:xfrm>
        <a:off x="2438400" y="7877175"/>
        <a:ext cx="63150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0.4825</cdr:x>
      <cdr:y>0.4985</cdr:y>
    </cdr:from>
    <cdr:to>
      <cdr:x>0.5125</cdr:x>
      <cdr:y>0.5645</cdr:y>
    </cdr:to>
    <cdr:sp>
      <cdr:nvSpPr>
        <cdr:cNvPr id="1" name="TextBox 1"/>
        <cdr:cNvSpPr txBox="1">
          <a:spLocks noChangeArrowheads="1"/>
        </cdr:cNvSpPr>
      </cdr:nvSpPr>
      <cdr:spPr>
        <a:xfrm>
          <a:off x="3133725" y="1619250"/>
          <a:ext cx="190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78</xdr:row>
      <xdr:rowOff>142875</xdr:rowOff>
    </xdr:from>
    <xdr:to>
      <xdr:col>9</xdr:col>
      <xdr:colOff>266700</xdr:colOff>
      <xdr:row>98</xdr:row>
      <xdr:rowOff>76200</xdr:rowOff>
    </xdr:to>
    <xdr:graphicFrame>
      <xdr:nvGraphicFramePr>
        <xdr:cNvPr id="1" name="Chart 10"/>
        <xdr:cNvGraphicFramePr/>
      </xdr:nvGraphicFramePr>
      <xdr:xfrm>
        <a:off x="952500" y="14563725"/>
        <a:ext cx="628650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895350</xdr:colOff>
      <xdr:row>136</xdr:row>
      <xdr:rowOff>47625</xdr:rowOff>
    </xdr:from>
    <xdr:to>
      <xdr:col>9</xdr:col>
      <xdr:colOff>419100</xdr:colOff>
      <xdr:row>154</xdr:row>
      <xdr:rowOff>142875</xdr:rowOff>
    </xdr:to>
    <xdr:graphicFrame>
      <xdr:nvGraphicFramePr>
        <xdr:cNvPr id="2" name="Chart 13"/>
        <xdr:cNvGraphicFramePr/>
      </xdr:nvGraphicFramePr>
      <xdr:xfrm>
        <a:off x="895350" y="23888700"/>
        <a:ext cx="64960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914400</xdr:colOff>
      <xdr:row>159</xdr:row>
      <xdr:rowOff>142875</xdr:rowOff>
    </xdr:from>
    <xdr:to>
      <xdr:col>9</xdr:col>
      <xdr:colOff>447675</xdr:colOff>
      <xdr:row>180</xdr:row>
      <xdr:rowOff>0</xdr:rowOff>
    </xdr:to>
    <xdr:graphicFrame>
      <xdr:nvGraphicFramePr>
        <xdr:cNvPr id="3" name="Chart 14"/>
        <xdr:cNvGraphicFramePr/>
      </xdr:nvGraphicFramePr>
      <xdr:xfrm>
        <a:off x="914400" y="27727275"/>
        <a:ext cx="6505575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923925</xdr:colOff>
      <xdr:row>108</xdr:row>
      <xdr:rowOff>28575</xdr:rowOff>
    </xdr:from>
    <xdr:to>
      <xdr:col>9</xdr:col>
      <xdr:colOff>381000</xdr:colOff>
      <xdr:row>127</xdr:row>
      <xdr:rowOff>76200</xdr:rowOff>
    </xdr:to>
    <xdr:graphicFrame>
      <xdr:nvGraphicFramePr>
        <xdr:cNvPr id="4" name="Chart 15"/>
        <xdr:cNvGraphicFramePr/>
      </xdr:nvGraphicFramePr>
      <xdr:xfrm>
        <a:off x="923925" y="19316700"/>
        <a:ext cx="6429375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101</xdr:row>
      <xdr:rowOff>142875</xdr:rowOff>
    </xdr:from>
    <xdr:to>
      <xdr:col>6</xdr:col>
      <xdr:colOff>142875</xdr:colOff>
      <xdr:row>119</xdr:row>
      <xdr:rowOff>142875</xdr:rowOff>
    </xdr:to>
    <xdr:graphicFrame>
      <xdr:nvGraphicFramePr>
        <xdr:cNvPr id="1" name="Chart 1"/>
        <xdr:cNvGraphicFramePr/>
      </xdr:nvGraphicFramePr>
      <xdr:xfrm>
        <a:off x="952500" y="2638425"/>
        <a:ext cx="5162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1238250</xdr:colOff>
      <xdr:row>124</xdr:row>
      <xdr:rowOff>114300</xdr:rowOff>
    </xdr:from>
    <xdr:to>
      <xdr:col>6</xdr:col>
      <xdr:colOff>266700</xdr:colOff>
      <xdr:row>142</xdr:row>
      <xdr:rowOff>0</xdr:rowOff>
    </xdr:to>
    <xdr:graphicFrame>
      <xdr:nvGraphicFramePr>
        <xdr:cNvPr id="2" name="Chart 2"/>
        <xdr:cNvGraphicFramePr/>
      </xdr:nvGraphicFramePr>
      <xdr:xfrm>
        <a:off x="1238250" y="2638425"/>
        <a:ext cx="5000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1228725</xdr:colOff>
      <xdr:row>148</xdr:row>
      <xdr:rowOff>0</xdr:rowOff>
    </xdr:from>
    <xdr:to>
      <xdr:col>6</xdr:col>
      <xdr:colOff>409575</xdr:colOff>
      <xdr:row>166</xdr:row>
      <xdr:rowOff>38100</xdr:rowOff>
    </xdr:to>
    <xdr:graphicFrame>
      <xdr:nvGraphicFramePr>
        <xdr:cNvPr id="3" name="Chart 3"/>
        <xdr:cNvGraphicFramePr/>
      </xdr:nvGraphicFramePr>
      <xdr:xfrm>
        <a:off x="1228725" y="2638425"/>
        <a:ext cx="515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838200</xdr:colOff>
      <xdr:row>183</xdr:row>
      <xdr:rowOff>95250</xdr:rowOff>
    </xdr:from>
    <xdr:to>
      <xdr:col>7</xdr:col>
      <xdr:colOff>790575</xdr:colOff>
      <xdr:row>201</xdr:row>
      <xdr:rowOff>38100</xdr:rowOff>
    </xdr:to>
    <xdr:graphicFrame>
      <xdr:nvGraphicFramePr>
        <xdr:cNvPr id="4" name="Chart 4"/>
        <xdr:cNvGraphicFramePr/>
      </xdr:nvGraphicFramePr>
      <xdr:xfrm>
        <a:off x="838200" y="2733675"/>
        <a:ext cx="67627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31</xdr:row>
      <xdr:rowOff>85725</xdr:rowOff>
    </xdr:from>
    <xdr:to>
      <xdr:col>8</xdr:col>
      <xdr:colOff>704850</xdr:colOff>
      <xdr:row>50</xdr:row>
      <xdr:rowOff>142875</xdr:rowOff>
    </xdr:to>
    <xdr:graphicFrame>
      <xdr:nvGraphicFramePr>
        <xdr:cNvPr id="1" name="Chart 3"/>
        <xdr:cNvGraphicFramePr/>
      </xdr:nvGraphicFramePr>
      <xdr:xfrm>
        <a:off x="228600" y="5572125"/>
        <a:ext cx="65532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55</xdr:row>
      <xdr:rowOff>28575</xdr:rowOff>
    </xdr:from>
    <xdr:to>
      <xdr:col>7</xdr:col>
      <xdr:colOff>704850</xdr:colOff>
      <xdr:row>73</xdr:row>
      <xdr:rowOff>85725</xdr:rowOff>
    </xdr:to>
    <xdr:graphicFrame>
      <xdr:nvGraphicFramePr>
        <xdr:cNvPr id="2" name="Chart 4"/>
        <xdr:cNvGraphicFramePr/>
      </xdr:nvGraphicFramePr>
      <xdr:xfrm>
        <a:off x="771525" y="9401175"/>
        <a:ext cx="52292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63</xdr:row>
      <xdr:rowOff>123825</xdr:rowOff>
    </xdr:from>
    <xdr:to>
      <xdr:col>11</xdr:col>
      <xdr:colOff>228600</xdr:colOff>
      <xdr:row>81</xdr:row>
      <xdr:rowOff>0</xdr:rowOff>
    </xdr:to>
    <xdr:graphicFrame>
      <xdr:nvGraphicFramePr>
        <xdr:cNvPr id="1" name="Chart 3"/>
        <xdr:cNvGraphicFramePr/>
      </xdr:nvGraphicFramePr>
      <xdr:xfrm>
        <a:off x="1590675" y="10363200"/>
        <a:ext cx="55149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42</xdr:row>
      <xdr:rowOff>142875</xdr:rowOff>
    </xdr:from>
    <xdr:to>
      <xdr:col>11</xdr:col>
      <xdr:colOff>142875</xdr:colOff>
      <xdr:row>58</xdr:row>
      <xdr:rowOff>123825</xdr:rowOff>
    </xdr:to>
    <xdr:graphicFrame>
      <xdr:nvGraphicFramePr>
        <xdr:cNvPr id="2" name="Chart 5"/>
        <xdr:cNvGraphicFramePr/>
      </xdr:nvGraphicFramePr>
      <xdr:xfrm>
        <a:off x="1590675" y="6981825"/>
        <a:ext cx="5429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247650</xdr:colOff>
      <xdr:row>93</xdr:row>
      <xdr:rowOff>152400</xdr:rowOff>
    </xdr:from>
    <xdr:to>
      <xdr:col>11</xdr:col>
      <xdr:colOff>400050</xdr:colOff>
      <xdr:row>110</xdr:row>
      <xdr:rowOff>95250</xdr:rowOff>
    </xdr:to>
    <xdr:graphicFrame>
      <xdr:nvGraphicFramePr>
        <xdr:cNvPr id="3" name="Chart 7"/>
        <xdr:cNvGraphicFramePr/>
      </xdr:nvGraphicFramePr>
      <xdr:xfrm>
        <a:off x="1733550" y="15268575"/>
        <a:ext cx="55435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56</xdr:row>
      <xdr:rowOff>0</xdr:rowOff>
    </xdr:from>
    <xdr:to>
      <xdr:col>7</xdr:col>
      <xdr:colOff>409575</xdr:colOff>
      <xdr:row>56</xdr:row>
      <xdr:rowOff>0</xdr:rowOff>
    </xdr:to>
    <xdr:graphicFrame>
      <xdr:nvGraphicFramePr>
        <xdr:cNvPr id="1" name="Chart 4"/>
        <xdr:cNvGraphicFramePr/>
      </xdr:nvGraphicFramePr>
      <xdr:xfrm>
        <a:off x="2076450" y="9677400"/>
        <a:ext cx="639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ajcsnedf\Local%20Settings\Temporary%20Internet%20Files\Content.IE5\AB6LA58X\&#193;tvil&#225;g&#237;t&#225;s%20Krajcsn&#233;%20feldolgoz&#225;s%20utols&#243;%20t&#225;mogat&#225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kumentumok\Excel\Menyus\P&#233;nz&#252;gyielemz&#233;s\P&#252;modell\M_V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Excel\Menyus\P&#233;nz&#252;gyielemz&#233;s\P&#252;modell\M_V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VIP\&#193;llami%20t&#225;mogat&#225;s%20ig&#233;nyl&#233;s-%20elsz&#225;mol&#225;s\2007\ig&#233;nyl&#233;s\Statisztika%20feldolgoz&#225;sa%202006%20okt%20ANDIj&#24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enzugyVIP\&#193;llami%20t&#225;mogat&#225;s%20ig&#233;nyl&#233;s-%20elsz&#225;mol&#225;s\2007\ig&#233;nyl&#233;s\Statisztika%20feldolgoz&#225;sa%202006%20okt%20ANDIj&#2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őbb mutatók 1."/>
      <sheetName val="Bevételek 98-tól"/>
      <sheetName val="Bevételek index %munka"/>
      <sheetName val="Vagyonhasznosítás bevét 98-tól"/>
      <sheetName val="helyi adó 1998-2002 "/>
      <sheetName val="Kiadások 98-tól"/>
      <sheetName val="Költségvetési hiány"/>
      <sheetName val="Norm. munka"/>
      <sheetName val="Hitelállomány"/>
      <sheetName val=" köv-köt"/>
      <sheetName val="Intézményi kiadások és támogat."/>
      <sheetName val="bejárók 2005-2006"/>
      <sheetName val="Üzletrészek"/>
      <sheetName val="Részesedések"/>
      <sheetName val="Vagyon alakulása"/>
      <sheetName val="bejárók 2005"/>
      <sheetName val="bejárók 2006"/>
      <sheetName val="B függelék"/>
    </sheetNames>
    <sheetDataSet>
      <sheetData sheetId="5">
        <row r="89">
          <cell r="B89">
            <v>1998</v>
          </cell>
          <cell r="C89">
            <v>1999</v>
          </cell>
          <cell r="D89">
            <v>2000</v>
          </cell>
          <cell r="E89">
            <v>2001</v>
          </cell>
          <cell r="F89">
            <v>2002</v>
          </cell>
          <cell r="G89">
            <v>2003</v>
          </cell>
          <cell r="H89">
            <v>2004</v>
          </cell>
          <cell r="I89">
            <v>2005</v>
          </cell>
          <cell r="J89" t="str">
            <v>2006 terv</v>
          </cell>
        </row>
        <row r="90">
          <cell r="A90" t="str">
            <v>Bér és járulék</v>
          </cell>
          <cell r="B90">
            <v>4208240</v>
          </cell>
          <cell r="C90">
            <v>4777712</v>
          </cell>
          <cell r="D90">
            <v>4983642</v>
          </cell>
          <cell r="E90">
            <v>5827464</v>
          </cell>
          <cell r="F90">
            <v>7209983</v>
          </cell>
          <cell r="G90">
            <v>9062760</v>
          </cell>
          <cell r="H90">
            <v>9221611</v>
          </cell>
          <cell r="I90">
            <v>9993605</v>
          </cell>
          <cell r="J90">
            <v>10181257</v>
          </cell>
        </row>
        <row r="91">
          <cell r="A91" t="str">
            <v>Felhalmozási kiadás</v>
          </cell>
          <cell r="B91">
            <v>2425962</v>
          </cell>
          <cell r="C91">
            <v>1799580</v>
          </cell>
          <cell r="D91">
            <v>2203550</v>
          </cell>
          <cell r="E91">
            <v>5126577</v>
          </cell>
          <cell r="F91">
            <v>3028663</v>
          </cell>
          <cell r="G91">
            <v>1773290</v>
          </cell>
          <cell r="H91">
            <v>2616472</v>
          </cell>
          <cell r="I91">
            <v>4269455</v>
          </cell>
          <cell r="J91">
            <v>6770434</v>
          </cell>
        </row>
        <row r="92">
          <cell r="A92" t="str">
            <v>Működési kiadás</v>
          </cell>
          <cell r="B92">
            <v>4913636</v>
          </cell>
          <cell r="C92">
            <v>5505898</v>
          </cell>
          <cell r="D92">
            <v>7060590</v>
          </cell>
          <cell r="E92">
            <v>9610834</v>
          </cell>
          <cell r="F92">
            <v>9359603</v>
          </cell>
          <cell r="G92">
            <v>11662567</v>
          </cell>
          <cell r="H92">
            <v>8149588</v>
          </cell>
          <cell r="I92">
            <v>10909516</v>
          </cell>
          <cell r="J92">
            <v>7081541</v>
          </cell>
        </row>
        <row r="114">
          <cell r="B114">
            <v>2000</v>
          </cell>
          <cell r="C114">
            <v>2001</v>
          </cell>
          <cell r="D114">
            <v>2002</v>
          </cell>
          <cell r="E114">
            <v>2003</v>
          </cell>
          <cell r="F114">
            <v>2004</v>
          </cell>
          <cell r="G114">
            <v>2005</v>
          </cell>
          <cell r="H114">
            <v>2006</v>
          </cell>
        </row>
        <row r="115">
          <cell r="A115" t="str">
            <v>Önkormányzati bér és járulék </v>
          </cell>
          <cell r="B115">
            <v>4984</v>
          </cell>
          <cell r="C115">
            <v>5827</v>
          </cell>
          <cell r="D115">
            <v>7210</v>
          </cell>
          <cell r="E115">
            <v>9063</v>
          </cell>
          <cell r="F115">
            <v>9222</v>
          </cell>
          <cell r="G115">
            <v>9994</v>
          </cell>
          <cell r="H115">
            <v>10181</v>
          </cell>
        </row>
        <row r="116">
          <cell r="A116" t="str">
            <v>Államtól működésre kapott millió Ft</v>
          </cell>
          <cell r="B116">
            <v>6161</v>
          </cell>
          <cell r="C116">
            <v>6389</v>
          </cell>
          <cell r="D116">
            <v>7769</v>
          </cell>
          <cell r="E116">
            <v>9711</v>
          </cell>
          <cell r="F116">
            <v>10442</v>
          </cell>
          <cell r="G116">
            <v>11253</v>
          </cell>
          <cell r="H116">
            <v>9719</v>
          </cell>
        </row>
        <row r="137">
          <cell r="B137">
            <v>2000</v>
          </cell>
          <cell r="C137">
            <v>2001</v>
          </cell>
          <cell r="D137">
            <v>2002</v>
          </cell>
          <cell r="E137">
            <v>2003</v>
          </cell>
          <cell r="F137">
            <v>2004</v>
          </cell>
          <cell r="G137">
            <v>2005</v>
          </cell>
          <cell r="H137">
            <v>2006</v>
          </cell>
        </row>
        <row r="138">
          <cell r="A138" t="str">
            <v>Intézményi bér és járulék millió Ft</v>
          </cell>
          <cell r="B138">
            <v>4366</v>
          </cell>
          <cell r="C138">
            <v>5007</v>
          </cell>
          <cell r="D138">
            <v>6262</v>
          </cell>
          <cell r="E138">
            <v>7940</v>
          </cell>
          <cell r="F138">
            <v>8101</v>
          </cell>
          <cell r="G138">
            <v>8702</v>
          </cell>
          <cell r="H138">
            <v>8892</v>
          </cell>
        </row>
        <row r="139">
          <cell r="A139" t="str">
            <v>Államtól működésre kapott millió Ft</v>
          </cell>
          <cell r="B139">
            <v>6161</v>
          </cell>
          <cell r="C139">
            <v>6389</v>
          </cell>
          <cell r="D139">
            <v>7769</v>
          </cell>
          <cell r="E139">
            <v>9711</v>
          </cell>
          <cell r="F139">
            <v>10442</v>
          </cell>
          <cell r="G139">
            <v>11253</v>
          </cell>
          <cell r="H139">
            <v>9719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1.289</v>
          </cell>
          <cell r="D24">
            <v>1.74015</v>
          </cell>
          <cell r="E24">
            <v>2.1369042</v>
          </cell>
          <cell r="F24">
            <v>2.6177076450000003</v>
          </cell>
          <cell r="G24">
            <v>3.10983668226</v>
          </cell>
          <cell r="H24">
            <v>4.00546964675088</v>
          </cell>
          <cell r="I24">
            <v>4.958771422677589</v>
          </cell>
          <cell r="J24">
            <v>5.866226593027588</v>
          </cell>
          <cell r="K24">
            <v>6.746160581981726</v>
          </cell>
          <cell r="L24">
            <v>7.690623063459168</v>
          </cell>
          <cell r="M24">
            <v>8.69040406170886</v>
          </cell>
          <cell r="N24">
            <v>9.733252549113923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</v>
          </cell>
          <cell r="T24">
            <v>17.476377560017966</v>
          </cell>
          <cell r="U24">
            <v>18.96186965261949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</v>
          </cell>
          <cell r="AD24">
            <v>32.01430040008399</v>
          </cell>
          <cell r="AE24">
            <v>33.29487241608735</v>
          </cell>
          <cell r="AF24">
            <v>34.626667312730845</v>
          </cell>
          <cell r="AG24">
            <v>36.01173400524008</v>
          </cell>
        </row>
        <row r="25">
          <cell r="B25">
            <v>1998</v>
          </cell>
          <cell r="C25">
            <v>5.233638930940051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1.15</v>
          </cell>
          <cell r="K25">
            <v>1</v>
          </cell>
          <cell r="L25">
            <v>0.8771929824561403</v>
          </cell>
          <cell r="M25">
            <v>0.7762769756249029</v>
          </cell>
          <cell r="N25">
            <v>0.6931044425222348</v>
          </cell>
          <cell r="O25">
            <v>0.621618334100659</v>
          </cell>
          <cell r="P25">
            <v>0.5600165172078008</v>
          </cell>
          <cell r="Q25">
            <v>0.5068022780161093</v>
          </cell>
          <cell r="R25">
            <v>0.4607293436510084</v>
          </cell>
          <cell r="S25">
            <v>0.42075739146210817</v>
          </cell>
          <cell r="T25">
            <v>0.386015955469824</v>
          </cell>
          <cell r="U25">
            <v>0.3557750741657364</v>
          </cell>
          <cell r="V25">
            <v>0.3294213649682744</v>
          </cell>
          <cell r="W25">
            <v>0.30643847904025523</v>
          </cell>
          <cell r="X25">
            <v>0.2863911019067806</v>
          </cell>
          <cell r="Y25">
            <v>0.2689118327763198</v>
          </cell>
          <cell r="Z25">
            <v>0.253690408279547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0.1873322895531798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0.965</v>
          </cell>
          <cell r="D27">
            <v>0.8501649999999998</v>
          </cell>
          <cell r="E27">
            <v>0.823809885</v>
          </cell>
          <cell r="F27">
            <v>0.81886702569</v>
          </cell>
          <cell r="G27">
            <v>0.8426141694350101</v>
          </cell>
          <cell r="H27">
            <v>0.8552533819765352</v>
          </cell>
          <cell r="I27">
            <v>0.8663716759422301</v>
          </cell>
          <cell r="J27">
            <v>0.9044920296836882</v>
          </cell>
          <cell r="K27">
            <v>0.9497166311678727</v>
          </cell>
          <cell r="L27">
            <v>1.006699629037945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</v>
          </cell>
          <cell r="AE27">
            <v>4.304386741779919</v>
          </cell>
          <cell r="AF27">
            <v>4.648737681122313</v>
          </cell>
          <cell r="AG27">
            <v>5.020636695612098</v>
          </cell>
        </row>
        <row r="28">
          <cell r="B28">
            <v>1998</v>
          </cell>
          <cell r="C28">
            <v>0.9841623120910599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</v>
          </cell>
          <cell r="I28">
            <v>1.0962</v>
          </cell>
          <cell r="J28">
            <v>1.05</v>
          </cell>
          <cell r="K28">
            <v>1</v>
          </cell>
          <cell r="L28">
            <v>0.9433962264150944</v>
          </cell>
          <cell r="M28">
            <v>0.881678716275789</v>
          </cell>
          <cell r="N28">
            <v>0.8163691817368416</v>
          </cell>
          <cell r="O28">
            <v>0.7558973904970756</v>
          </cell>
          <cell r="P28">
            <v>0.6999049912009958</v>
          </cell>
          <cell r="Q28">
            <v>0.648060177037959</v>
          </cell>
          <cell r="R28">
            <v>0.6000557194795917</v>
          </cell>
          <cell r="S28">
            <v>0.5556071476662886</v>
          </cell>
          <cell r="T28">
            <v>0.5144510626539709</v>
          </cell>
          <cell r="U28">
            <v>0.4763435765314545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</v>
          </cell>
          <cell r="Z28">
            <v>0.3241914342022694</v>
          </cell>
          <cell r="AA28">
            <v>0.3001772538909902</v>
          </cell>
          <cell r="AB28">
            <v>0.2779419017509168</v>
          </cell>
          <cell r="AC28">
            <v>0.25735361273233043</v>
          </cell>
          <cell r="AD28">
            <v>0.2382903821595652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25.16785714420712</v>
          </cell>
          <cell r="L30">
            <v>26.16785714420712</v>
          </cell>
          <cell r="M30">
            <v>27.16785714420712</v>
          </cell>
          <cell r="N30">
            <v>28.16785714420712</v>
          </cell>
          <cell r="O30">
            <v>28.66785714420712</v>
          </cell>
          <cell r="P30">
            <v>29.16785714420712</v>
          </cell>
          <cell r="Q30">
            <v>29.66785714420712</v>
          </cell>
          <cell r="R30">
            <v>30.16785714420712</v>
          </cell>
          <cell r="S30">
            <v>30.66785714420712</v>
          </cell>
          <cell r="T30">
            <v>31.16785714420712</v>
          </cell>
          <cell r="U30">
            <v>31.66785714420712</v>
          </cell>
          <cell r="V30">
            <v>32.16785714420712</v>
          </cell>
          <cell r="W30">
            <v>32.66785714420712</v>
          </cell>
          <cell r="X30">
            <v>33.16785714420712</v>
          </cell>
          <cell r="Y30">
            <v>33.66785714420712</v>
          </cell>
          <cell r="Z30">
            <v>34.16785714420712</v>
          </cell>
          <cell r="AA30">
            <v>34.66785714420712</v>
          </cell>
          <cell r="AB30">
            <v>35.16785714420712</v>
          </cell>
          <cell r="AC30">
            <v>35.66785714420712</v>
          </cell>
          <cell r="AD30">
            <v>36.16785714420712</v>
          </cell>
          <cell r="AE30">
            <v>36.66785714420712</v>
          </cell>
          <cell r="AF30">
            <v>37.16785714420712</v>
          </cell>
          <cell r="AG30">
            <v>37.66785714420712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</v>
          </cell>
          <cell r="G31">
            <v>857.134</v>
          </cell>
          <cell r="H31">
            <v>959.549</v>
          </cell>
          <cell r="I31">
            <v>1134.93</v>
          </cell>
          <cell r="J31">
            <v>1148.002</v>
          </cell>
          <cell r="K31">
            <v>2095.584894</v>
          </cell>
          <cell r="L31">
            <v>3113.1045824711</v>
          </cell>
          <cell r="M31">
            <v>4309.008531778032</v>
          </cell>
          <cell r="N31">
            <v>5706.285289978403</v>
          </cell>
          <cell r="O31">
            <v>7321.192176731974</v>
          </cell>
          <cell r="P31">
            <v>9169.061282996427</v>
          </cell>
          <cell r="Q31">
            <v>11263.898680691364</v>
          </cell>
          <cell r="R31">
            <v>13617.96569216057</v>
          </cell>
          <cell r="S31">
            <v>16241.351482463746</v>
          </cell>
          <cell r="T31">
            <v>19141.547572618572</v>
          </cell>
          <cell r="U31">
            <v>22323.03597816632</v>
          </cell>
          <cell r="V31">
            <v>21139.915071323507</v>
          </cell>
          <cell r="W31">
            <v>20019.49957254336</v>
          </cell>
          <cell r="X31">
            <v>18958.46609519856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</v>
          </cell>
          <cell r="X32">
            <v>16396.99999999712</v>
          </cell>
          <cell r="Y32">
            <v>16396.99999999568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Jóskának"/>
      <sheetName val="Zengő"/>
      <sheetName val="Csemetekert"/>
      <sheetName val="Szivárvány"/>
      <sheetName val="Napraforgó"/>
      <sheetName val="Százszorszép"/>
      <sheetName val="Manóvár"/>
      <sheetName val="Pitypang"/>
      <sheetName val="Csallóköz"/>
      <sheetName val="Árnyas"/>
      <sheetName val="Nyitnikék"/>
      <sheetName val="Kacsa"/>
      <sheetName val="Liget uti"/>
      <sheetName val="Kolozsvári"/>
      <sheetName val="Tesz-vesz"/>
      <sheetName val="Gézengúz"/>
      <sheetName val="Hétszínvirág"/>
      <sheetName val="Hold"/>
      <sheetName val="Szapáry"/>
      <sheetName val="Kertvárosi"/>
      <sheetName val="Krúdy"/>
      <sheetName val="Munkácsy"/>
      <sheetName val="Rózsa"/>
      <sheetName val="Verseghy park"/>
      <sheetName val="Wagner"/>
      <sheetName val="I.sz. Óvoda"/>
      <sheetName val="II. Óvoda"/>
      <sheetName val="III.Óvoda"/>
      <sheetName val="IV.Óvoda"/>
      <sheetName val="Kodály"/>
      <sheetName val="Bartók"/>
      <sheetName val="Fiumei"/>
      <sheetName val="Belvárosi"/>
      <sheetName val="Kassai"/>
      <sheetName val="Széchneyi krt-i"/>
      <sheetName val="Újvárosi"/>
      <sheetName val="II.Rákóczi"/>
      <sheetName val="Szanda"/>
      <sheetName val="Liget"/>
      <sheetName val="Mátyás"/>
      <sheetName val="Kőrösi"/>
      <sheetName val="Szentgyörgyi"/>
      <sheetName val="Verseghy"/>
      <sheetName val="Varga K"/>
      <sheetName val="Tiszaparti"/>
      <sheetName val="Széchenyi Gimn"/>
      <sheetName val="Eügyi"/>
      <sheetName val="Vásárhelyi"/>
      <sheetName val="Gépipari"/>
      <sheetName val="Pálfy"/>
      <sheetName val="Építészeti"/>
      <sheetName val="Keró"/>
      <sheetName val="Ruhaipari"/>
      <sheetName val="Kollégium"/>
    </sheetNames>
    <sheetDataSet>
      <sheetData sheetId="26">
        <row r="52">
          <cell r="D52">
            <v>523</v>
          </cell>
          <cell r="Q52">
            <v>2</v>
          </cell>
        </row>
      </sheetData>
      <sheetData sheetId="27">
        <row r="52">
          <cell r="D52">
            <v>659</v>
          </cell>
          <cell r="Q52">
            <v>21</v>
          </cell>
        </row>
      </sheetData>
      <sheetData sheetId="28">
        <row r="52">
          <cell r="D52">
            <v>621</v>
          </cell>
          <cell r="Q52">
            <v>27</v>
          </cell>
        </row>
      </sheetData>
      <sheetData sheetId="29">
        <row r="52">
          <cell r="D52">
            <v>591</v>
          </cell>
          <cell r="Q52">
            <v>12</v>
          </cell>
        </row>
      </sheetData>
      <sheetData sheetId="30">
        <row r="52">
          <cell r="D52">
            <v>723</v>
          </cell>
          <cell r="Q52">
            <v>66</v>
          </cell>
        </row>
      </sheetData>
      <sheetData sheetId="31">
        <row r="52">
          <cell r="D52">
            <v>0</v>
          </cell>
          <cell r="Q52">
            <v>0</v>
          </cell>
        </row>
      </sheetData>
      <sheetData sheetId="32">
        <row r="52">
          <cell r="D52">
            <v>631</v>
          </cell>
          <cell r="Q52">
            <v>63</v>
          </cell>
        </row>
      </sheetData>
      <sheetData sheetId="33">
        <row r="52">
          <cell r="D52">
            <v>435</v>
          </cell>
          <cell r="Q52">
            <v>12</v>
          </cell>
        </row>
      </sheetData>
      <sheetData sheetId="34">
        <row r="52">
          <cell r="D52">
            <v>501</v>
          </cell>
          <cell r="Q52">
            <v>25</v>
          </cell>
        </row>
      </sheetData>
      <sheetData sheetId="35">
        <row r="52">
          <cell r="D52">
            <v>509</v>
          </cell>
          <cell r="Q52">
            <v>22</v>
          </cell>
        </row>
      </sheetData>
      <sheetData sheetId="36">
        <row r="52">
          <cell r="D52">
            <v>255</v>
          </cell>
          <cell r="Q52">
            <v>10</v>
          </cell>
        </row>
      </sheetData>
      <sheetData sheetId="37">
        <row r="52">
          <cell r="D52">
            <v>486</v>
          </cell>
          <cell r="Q52">
            <v>31</v>
          </cell>
        </row>
      </sheetData>
      <sheetData sheetId="38">
        <row r="52">
          <cell r="D52">
            <v>725</v>
          </cell>
          <cell r="Q52">
            <v>41</v>
          </cell>
        </row>
      </sheetData>
      <sheetData sheetId="39">
        <row r="52">
          <cell r="D52">
            <v>227</v>
          </cell>
          <cell r="Q52">
            <v>68</v>
          </cell>
        </row>
      </sheetData>
      <sheetData sheetId="40">
        <row r="52">
          <cell r="D52">
            <v>383</v>
          </cell>
          <cell r="Q52">
            <v>47</v>
          </cell>
        </row>
      </sheetData>
      <sheetData sheetId="41">
        <row r="52">
          <cell r="D52">
            <v>670</v>
          </cell>
          <cell r="Q52">
            <v>87</v>
          </cell>
        </row>
      </sheetData>
      <sheetData sheetId="42">
        <row r="52">
          <cell r="D52">
            <v>893</v>
          </cell>
          <cell r="Q52">
            <v>38</v>
          </cell>
        </row>
      </sheetData>
      <sheetData sheetId="43">
        <row r="52">
          <cell r="D52">
            <v>555</v>
          </cell>
          <cell r="Q52">
            <v>119</v>
          </cell>
        </row>
        <row r="54">
          <cell r="D54">
            <v>0</v>
          </cell>
          <cell r="Q54">
            <v>0</v>
          </cell>
        </row>
      </sheetData>
      <sheetData sheetId="44">
        <row r="52">
          <cell r="D52">
            <v>392</v>
          </cell>
          <cell r="Q52">
            <v>63</v>
          </cell>
        </row>
        <row r="54">
          <cell r="D54">
            <v>0</v>
          </cell>
          <cell r="Q54">
            <v>0</v>
          </cell>
        </row>
      </sheetData>
      <sheetData sheetId="45">
        <row r="52">
          <cell r="D52">
            <v>681</v>
          </cell>
          <cell r="Q52">
            <v>255</v>
          </cell>
        </row>
        <row r="54">
          <cell r="D54">
            <v>0</v>
          </cell>
          <cell r="Q54">
            <v>0</v>
          </cell>
        </row>
      </sheetData>
      <sheetData sheetId="46">
        <row r="17">
          <cell r="D17">
            <v>25</v>
          </cell>
          <cell r="Q17">
            <v>1</v>
          </cell>
        </row>
        <row r="18">
          <cell r="D18">
            <v>24</v>
          </cell>
          <cell r="Q18">
            <v>2</v>
          </cell>
        </row>
        <row r="19">
          <cell r="D19">
            <v>24</v>
          </cell>
          <cell r="Q19">
            <v>1</v>
          </cell>
        </row>
        <row r="20">
          <cell r="D20">
            <v>29</v>
          </cell>
          <cell r="Q20">
            <v>2</v>
          </cell>
        </row>
        <row r="21">
          <cell r="D21">
            <v>19</v>
          </cell>
          <cell r="Q21">
            <v>1</v>
          </cell>
        </row>
        <row r="22">
          <cell r="D22">
            <v>174</v>
          </cell>
          <cell r="Q22">
            <v>67</v>
          </cell>
        </row>
        <row r="25">
          <cell r="D25">
            <v>146</v>
          </cell>
          <cell r="Q25">
            <v>50</v>
          </cell>
        </row>
        <row r="28">
          <cell r="D28">
            <v>157</v>
          </cell>
          <cell r="Q28">
            <v>57</v>
          </cell>
        </row>
        <row r="31">
          <cell r="D31">
            <v>167</v>
          </cell>
          <cell r="Q31">
            <v>47</v>
          </cell>
        </row>
        <row r="54">
          <cell r="D54">
            <v>0</v>
          </cell>
          <cell r="Q54">
            <v>0</v>
          </cell>
        </row>
      </sheetData>
      <sheetData sheetId="47">
        <row r="52">
          <cell r="D52">
            <v>540</v>
          </cell>
          <cell r="Q52">
            <v>305</v>
          </cell>
        </row>
        <row r="54">
          <cell r="D54">
            <v>268</v>
          </cell>
          <cell r="Q54">
            <v>164</v>
          </cell>
        </row>
      </sheetData>
      <sheetData sheetId="48">
        <row r="52">
          <cell r="D52">
            <v>757</v>
          </cell>
          <cell r="Q52">
            <v>352</v>
          </cell>
        </row>
        <row r="54">
          <cell r="D54">
            <v>0</v>
          </cell>
          <cell r="Q54">
            <v>0</v>
          </cell>
        </row>
      </sheetData>
      <sheetData sheetId="49">
        <row r="52">
          <cell r="D52">
            <v>1327</v>
          </cell>
          <cell r="Q52">
            <v>741</v>
          </cell>
        </row>
        <row r="54">
          <cell r="D54">
            <v>164</v>
          </cell>
          <cell r="Q54">
            <v>70</v>
          </cell>
        </row>
      </sheetData>
      <sheetData sheetId="50">
        <row r="52">
          <cell r="D52">
            <v>595</v>
          </cell>
          <cell r="Q52">
            <v>250</v>
          </cell>
        </row>
        <row r="54">
          <cell r="D54">
            <v>0</v>
          </cell>
          <cell r="Q54">
            <v>0</v>
          </cell>
        </row>
      </sheetData>
      <sheetData sheetId="51">
        <row r="52">
          <cell r="D52">
            <v>1275</v>
          </cell>
          <cell r="Q52">
            <v>645</v>
          </cell>
        </row>
        <row r="54">
          <cell r="D54">
            <v>191</v>
          </cell>
          <cell r="Q54">
            <v>86</v>
          </cell>
        </row>
      </sheetData>
      <sheetData sheetId="52">
        <row r="52">
          <cell r="D52">
            <v>938</v>
          </cell>
          <cell r="Q52">
            <v>398</v>
          </cell>
        </row>
        <row r="54">
          <cell r="D54">
            <v>56</v>
          </cell>
          <cell r="Q54">
            <v>16</v>
          </cell>
        </row>
      </sheetData>
      <sheetData sheetId="53">
        <row r="52">
          <cell r="D52">
            <v>666</v>
          </cell>
          <cell r="Q52">
            <v>346</v>
          </cell>
        </row>
        <row r="54">
          <cell r="D54">
            <v>0</v>
          </cell>
          <cell r="Q5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Jóskának"/>
      <sheetName val="Zengő"/>
      <sheetName val="Csemetekert"/>
      <sheetName val="Szivárvány"/>
      <sheetName val="Napraforgó"/>
      <sheetName val="Százszorszép"/>
      <sheetName val="Manóvár"/>
      <sheetName val="Pitypang"/>
      <sheetName val="Csallóköz"/>
      <sheetName val="Árnyas"/>
      <sheetName val="Nyitnikék"/>
      <sheetName val="Kacsa"/>
      <sheetName val="Liget uti"/>
      <sheetName val="Kolozsvári"/>
      <sheetName val="Tesz-vesz"/>
      <sheetName val="Gézengúz"/>
      <sheetName val="Hétszínvirág"/>
      <sheetName val="Hold"/>
      <sheetName val="Szapáry"/>
      <sheetName val="Kertvárosi"/>
      <sheetName val="Krúdy"/>
      <sheetName val="Munkácsy"/>
      <sheetName val="Rózsa"/>
      <sheetName val="Verseghy park"/>
      <sheetName val="Wagner"/>
      <sheetName val="I.sz. Óvoda"/>
      <sheetName val="II. Óvoda"/>
      <sheetName val="III.Óvoda"/>
      <sheetName val="IV.Óvoda"/>
      <sheetName val="Kodály"/>
      <sheetName val="Bartók"/>
      <sheetName val="Fiumei"/>
      <sheetName val="Belvárosi"/>
      <sheetName val="Kassai"/>
      <sheetName val="Széchneyi krt-i"/>
      <sheetName val="Újvárosi"/>
      <sheetName val="II.Rákóczi"/>
      <sheetName val="Szanda"/>
      <sheetName val="Liget"/>
      <sheetName val="Mátyás"/>
      <sheetName val="Kőrösi"/>
      <sheetName val="Szentgyörgyi"/>
      <sheetName val="Verseghy"/>
      <sheetName val="Varga K"/>
      <sheetName val="Tiszaparti"/>
      <sheetName val="Széchenyi Gimn"/>
      <sheetName val="Eügyi"/>
      <sheetName val="Vásárhelyi"/>
      <sheetName val="Gépipari"/>
      <sheetName val="Pálfy"/>
      <sheetName val="Építészeti"/>
      <sheetName val="Keró"/>
      <sheetName val="Ruhaipari"/>
      <sheetName val="Kollégium"/>
    </sheetNames>
    <sheetDataSet>
      <sheetData sheetId="43">
        <row r="54">
          <cell r="Q54">
            <v>0</v>
          </cell>
        </row>
      </sheetData>
      <sheetData sheetId="44">
        <row r="54">
          <cell r="Q54">
            <v>0</v>
          </cell>
        </row>
      </sheetData>
      <sheetData sheetId="45">
        <row r="54">
          <cell r="Q54">
            <v>0</v>
          </cell>
        </row>
      </sheetData>
      <sheetData sheetId="46">
        <row r="54">
          <cell r="Q54">
            <v>0</v>
          </cell>
        </row>
      </sheetData>
      <sheetData sheetId="53">
        <row r="54">
          <cell r="Q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3:C29"/>
  <sheetViews>
    <sheetView workbookViewId="0" topLeftCell="A8">
      <selection activeCell="C12" sqref="C12"/>
    </sheetView>
  </sheetViews>
  <sheetFormatPr defaultColWidth="9.140625" defaultRowHeight="12.75"/>
  <cols>
    <col min="1" max="1" width="58.00390625" style="979" customWidth="1"/>
    <col min="2" max="2" width="14.8515625" style="979" customWidth="1"/>
    <col min="3" max="3" width="13.28125" style="979" customWidth="1"/>
    <col min="4" max="16384" width="9.140625" style="979" customWidth="1"/>
  </cols>
  <sheetData>
    <row r="3" spans="1:3" ht="24" customHeight="1">
      <c r="A3" s="1195" t="s">
        <v>683</v>
      </c>
      <c r="B3" s="1195"/>
      <c r="C3" s="1195"/>
    </row>
    <row r="4" spans="1:3" ht="24" customHeight="1">
      <c r="A4" s="1195" t="s">
        <v>457</v>
      </c>
      <c r="B4" s="1195"/>
      <c r="C4" s="1195"/>
    </row>
    <row r="7" spans="1:3" ht="12.75">
      <c r="A7" s="980"/>
      <c r="C7" s="981" t="s">
        <v>131</v>
      </c>
    </row>
    <row r="8" spans="1:3" ht="24.75" customHeight="1">
      <c r="A8" s="872" t="s">
        <v>574</v>
      </c>
      <c r="B8" s="873" t="s">
        <v>529</v>
      </c>
      <c r="C8" s="1132" t="s">
        <v>456</v>
      </c>
    </row>
    <row r="9" spans="1:3" s="984" customFormat="1" ht="19.5" customHeight="1">
      <c r="A9" s="982" t="s">
        <v>303</v>
      </c>
      <c r="B9" s="983">
        <v>76108</v>
      </c>
      <c r="C9" s="1133">
        <v>75616</v>
      </c>
    </row>
    <row r="10" spans="1:3" ht="19.5" customHeight="1">
      <c r="A10" s="1128" t="s">
        <v>142</v>
      </c>
      <c r="B10" s="986">
        <v>2034246.25</v>
      </c>
      <c r="C10" s="1134">
        <v>3808907</v>
      </c>
    </row>
    <row r="11" spans="1:3" ht="19.5" customHeight="1">
      <c r="A11" s="1128" t="s">
        <v>76</v>
      </c>
      <c r="B11" s="987">
        <f>B10/B9</f>
        <v>26.72841554107321</v>
      </c>
      <c r="C11" s="1135">
        <f>C10/C9</f>
        <v>50.3717070461278</v>
      </c>
    </row>
    <row r="12" spans="1:3" ht="19.5" customHeight="1">
      <c r="A12" s="985" t="s">
        <v>120</v>
      </c>
      <c r="B12" s="986">
        <v>20861755</v>
      </c>
      <c r="C12" s="1134">
        <v>21831738</v>
      </c>
    </row>
    <row r="13" spans="1:3" ht="19.5" customHeight="1">
      <c r="A13" s="985" t="s">
        <v>122</v>
      </c>
      <c r="B13" s="986">
        <v>7154039</v>
      </c>
      <c r="C13" s="1134">
        <v>7595950</v>
      </c>
    </row>
    <row r="14" spans="1:3" ht="19.5" customHeight="1">
      <c r="A14" s="985" t="s">
        <v>121</v>
      </c>
      <c r="B14" s="986">
        <v>4150700</v>
      </c>
      <c r="C14" s="1134">
        <v>4376000</v>
      </c>
    </row>
    <row r="15" spans="1:3" ht="19.5" customHeight="1">
      <c r="A15" s="985" t="s">
        <v>212</v>
      </c>
      <c r="B15" s="987">
        <f>B12/B9</f>
        <v>274.10725547905605</v>
      </c>
      <c r="C15" s="1135">
        <f>C12/C9</f>
        <v>288.7184987304274</v>
      </c>
    </row>
    <row r="16" spans="1:3" ht="19.5" customHeight="1">
      <c r="A16" s="985" t="s">
        <v>213</v>
      </c>
      <c r="B16" s="987">
        <f>B13/B9</f>
        <v>93.99851526777736</v>
      </c>
      <c r="C16" s="1135">
        <f>C13/C9</f>
        <v>100.45426893779094</v>
      </c>
    </row>
    <row r="17" spans="1:3" ht="19.5" customHeight="1">
      <c r="A17" s="985" t="s">
        <v>214</v>
      </c>
      <c r="B17" s="987">
        <f>B14/B9</f>
        <v>54.53697377411047</v>
      </c>
      <c r="C17" s="1135">
        <f>C14/C9</f>
        <v>57.871349978840456</v>
      </c>
    </row>
    <row r="18" spans="1:3" ht="19.5" customHeight="1">
      <c r="A18" s="985" t="s">
        <v>124</v>
      </c>
      <c r="B18" s="988">
        <f>B13/B12</f>
        <v>0.3429260385811261</v>
      </c>
      <c r="C18" s="1136">
        <f>C13/C12</f>
        <v>0.3479315297755955</v>
      </c>
    </row>
    <row r="19" spans="1:3" ht="19.5" customHeight="1">
      <c r="A19" s="985" t="s">
        <v>123</v>
      </c>
      <c r="B19" s="988">
        <f>B14/B12</f>
        <v>0.19896216785212942</v>
      </c>
      <c r="C19" s="1136">
        <f>C14/C12</f>
        <v>0.20044212696213193</v>
      </c>
    </row>
    <row r="20" spans="1:3" ht="19.5" customHeight="1">
      <c r="A20" s="985" t="s">
        <v>217</v>
      </c>
      <c r="B20" s="986">
        <f>B12</f>
        <v>20861755</v>
      </c>
      <c r="C20" s="1134">
        <f>C12</f>
        <v>21831738</v>
      </c>
    </row>
    <row r="21" spans="1:3" ht="19.5" customHeight="1">
      <c r="A21" s="985" t="s">
        <v>215</v>
      </c>
      <c r="B21" s="1129">
        <v>2758493</v>
      </c>
      <c r="C21" s="1137">
        <v>3042982</v>
      </c>
    </row>
    <row r="22" spans="1:3" ht="19.5" customHeight="1">
      <c r="A22" s="985" t="s">
        <v>304</v>
      </c>
      <c r="B22" s="988">
        <f>B21/B20</f>
        <v>0.13222727426335895</v>
      </c>
      <c r="C22" s="1136">
        <f>C21/C20</f>
        <v>0.13938340593863852</v>
      </c>
    </row>
    <row r="23" spans="1:3" ht="19.5" customHeight="1">
      <c r="A23" s="985" t="s">
        <v>218</v>
      </c>
      <c r="B23" s="987">
        <f>B20/B9</f>
        <v>274.10725547905605</v>
      </c>
      <c r="C23" s="1135">
        <f>C20/C9</f>
        <v>288.7184987304274</v>
      </c>
    </row>
    <row r="24" spans="1:3" ht="19.5" customHeight="1">
      <c r="A24" s="985" t="s">
        <v>216</v>
      </c>
      <c r="B24" s="987">
        <f>B21/B9</f>
        <v>36.24445524780575</v>
      </c>
      <c r="C24" s="1135">
        <f>C21/C9</f>
        <v>40.24256771053745</v>
      </c>
    </row>
    <row r="25" spans="1:3" ht="19.5" customHeight="1">
      <c r="A25" s="985" t="s">
        <v>305</v>
      </c>
      <c r="B25" s="986">
        <f>34</f>
        <v>34</v>
      </c>
      <c r="C25" s="1134">
        <v>28</v>
      </c>
    </row>
    <row r="26" spans="1:3" ht="19.5" customHeight="1">
      <c r="A26" s="985" t="s">
        <v>306</v>
      </c>
      <c r="B26" s="986">
        <v>28</v>
      </c>
      <c r="C26" s="1134">
        <v>22</v>
      </c>
    </row>
    <row r="27" spans="1:3" ht="33.75" customHeight="1">
      <c r="A27" s="989" t="s">
        <v>307</v>
      </c>
      <c r="B27" s="1138">
        <v>2821.9</v>
      </c>
      <c r="C27" s="1139">
        <v>2829.7</v>
      </c>
    </row>
    <row r="28" ht="15.75">
      <c r="A28" s="990"/>
    </row>
    <row r="29" spans="1:2" ht="12.75">
      <c r="A29" s="980"/>
      <c r="B29" s="1098"/>
    </row>
  </sheetData>
  <mergeCells count="2">
    <mergeCell ref="A3:C3"/>
    <mergeCell ref="A4:C4"/>
  </mergeCells>
  <printOptions horizontalCentered="1"/>
  <pageMargins left="0.7480314960629921" right="0.47" top="0.984251968503937" bottom="0.984251968503937" header="0.66929133858267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57"/>
  <sheetViews>
    <sheetView workbookViewId="0" topLeftCell="A1">
      <pane xSplit="3" ySplit="11" topLeftCell="D12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F28" sqref="F28"/>
    </sheetView>
  </sheetViews>
  <sheetFormatPr defaultColWidth="9.140625" defaultRowHeight="12.75"/>
  <cols>
    <col min="1" max="1" width="10.140625" style="164" customWidth="1"/>
    <col min="2" max="2" width="8.7109375" style="164" customWidth="1"/>
    <col min="3" max="3" width="6.57421875" style="164" customWidth="1"/>
    <col min="4" max="4" width="10.8515625" style="164" customWidth="1"/>
    <col min="5" max="5" width="10.7109375" style="166" customWidth="1"/>
    <col min="6" max="6" width="15.7109375" style="166" hidden="1" customWidth="1"/>
    <col min="7" max="7" width="12.140625" style="166" customWidth="1"/>
    <col min="8" max="10" width="10.8515625" style="166" customWidth="1"/>
    <col min="11" max="11" width="11.28125" style="166" customWidth="1"/>
    <col min="12" max="12" width="11.421875" style="166" customWidth="1"/>
    <col min="13" max="13" width="11.421875" style="166" hidden="1" customWidth="1"/>
    <col min="14" max="14" width="14.28125" style="166" customWidth="1"/>
    <col min="15" max="15" width="10.140625" style="166" hidden="1" customWidth="1"/>
    <col min="16" max="16" width="11.421875" style="166" hidden="1" customWidth="1"/>
    <col min="17" max="17" width="14.7109375" style="166" hidden="1" customWidth="1"/>
    <col min="18" max="18" width="16.28125" style="166" hidden="1" customWidth="1"/>
    <col min="19" max="19" width="10.8515625" style="166" hidden="1" customWidth="1"/>
    <col min="20" max="20" width="11.421875" style="166" hidden="1" customWidth="1"/>
    <col min="21" max="21" width="15.140625" style="167" hidden="1" customWidth="1"/>
    <col min="22" max="22" width="16.8515625" style="167" hidden="1" customWidth="1"/>
    <col min="23" max="24" width="10.8515625" style="166" customWidth="1"/>
    <col min="25" max="25" width="10.8515625" style="164" customWidth="1"/>
    <col min="26" max="26" width="10.140625" style="166" customWidth="1"/>
    <col min="27" max="29" width="10.140625" style="164" customWidth="1"/>
    <col min="30" max="31" width="10.140625" style="166" customWidth="1"/>
    <col min="32" max="16384" width="8.00390625" style="164" customWidth="1"/>
  </cols>
  <sheetData>
    <row r="1" ht="12.75">
      <c r="Y1" s="505" t="s">
        <v>209</v>
      </c>
    </row>
    <row r="2" spans="1:31" ht="12.75" customHeight="1">
      <c r="A2" s="1278" t="s">
        <v>667</v>
      </c>
      <c r="B2" s="1278"/>
      <c r="C2" s="1278"/>
      <c r="D2" s="1278"/>
      <c r="E2" s="1278"/>
      <c r="F2" s="1278"/>
      <c r="G2" s="1278"/>
      <c r="H2" s="1278"/>
      <c r="I2" s="1278"/>
      <c r="J2" s="1278"/>
      <c r="K2" s="1278"/>
      <c r="L2" s="1278"/>
      <c r="M2" s="1278"/>
      <c r="N2" s="1278"/>
      <c r="O2" s="1278"/>
      <c r="P2" s="1278"/>
      <c r="Q2" s="1278"/>
      <c r="R2" s="1278"/>
      <c r="S2" s="1278"/>
      <c r="T2" s="1278"/>
      <c r="U2" s="1278"/>
      <c r="V2" s="1278"/>
      <c r="W2" s="1279"/>
      <c r="X2" s="1279"/>
      <c r="Y2" s="1279"/>
      <c r="Z2" s="163"/>
      <c r="AA2" s="163"/>
      <c r="AB2" s="163"/>
      <c r="AC2" s="163"/>
      <c r="AD2" s="163"/>
      <c r="AE2" s="163"/>
    </row>
    <row r="3" spans="1:31" ht="12.75" customHeight="1">
      <c r="A3" s="1278"/>
      <c r="B3" s="1278"/>
      <c r="C3" s="1278"/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1278"/>
      <c r="O3" s="1278"/>
      <c r="P3" s="1278"/>
      <c r="Q3" s="1278"/>
      <c r="R3" s="1278"/>
      <c r="S3" s="1278"/>
      <c r="T3" s="1278"/>
      <c r="U3" s="1278"/>
      <c r="V3" s="1278"/>
      <c r="W3" s="1279"/>
      <c r="X3" s="1279"/>
      <c r="Y3" s="1279"/>
      <c r="Z3" s="165"/>
      <c r="AA3" s="165"/>
      <c r="AB3" s="163"/>
      <c r="AC3" s="163"/>
      <c r="AD3" s="163"/>
      <c r="AE3" s="163"/>
    </row>
    <row r="4" spans="24:27" ht="12.75">
      <c r="X4" s="168"/>
      <c r="Y4" s="169"/>
      <c r="Z4" s="168"/>
      <c r="AA4" s="169"/>
    </row>
    <row r="5" spans="22:31" ht="13.5" thickBot="1">
      <c r="V5" s="170" t="s">
        <v>577</v>
      </c>
      <c r="X5" s="168"/>
      <c r="Y5" s="276" t="s">
        <v>664</v>
      </c>
      <c r="Z5" s="168"/>
      <c r="AA5" s="169"/>
      <c r="AD5" s="171"/>
      <c r="AE5" s="171"/>
    </row>
    <row r="6" spans="1:32" ht="13.5" customHeight="1" thickTop="1">
      <c r="A6" s="1294" t="s">
        <v>604</v>
      </c>
      <c r="B6" s="1295"/>
      <c r="C6" s="1295"/>
      <c r="D6" s="1280" t="s">
        <v>498</v>
      </c>
      <c r="E6" s="1281"/>
      <c r="F6" s="1281"/>
      <c r="G6" s="1281"/>
      <c r="H6" s="1281"/>
      <c r="I6" s="1281"/>
      <c r="J6" s="1281"/>
      <c r="K6" s="1281" t="s">
        <v>663</v>
      </c>
      <c r="L6" s="1281"/>
      <c r="M6" s="1281"/>
      <c r="N6" s="1281"/>
      <c r="O6" s="1281"/>
      <c r="P6" s="1281"/>
      <c r="Q6" s="1281"/>
      <c r="R6" s="1281"/>
      <c r="S6" s="1281"/>
      <c r="T6" s="1281"/>
      <c r="U6" s="1281"/>
      <c r="V6" s="1281"/>
      <c r="W6" s="1281"/>
      <c r="X6" s="1281"/>
      <c r="Y6" s="1284"/>
      <c r="Z6" s="172"/>
      <c r="AA6" s="173"/>
      <c r="AB6" s="169"/>
      <c r="AC6" s="169"/>
      <c r="AD6" s="173"/>
      <c r="AE6" s="173"/>
      <c r="AF6" s="169"/>
    </row>
    <row r="7" spans="1:32" ht="12.75" customHeight="1">
      <c r="A7" s="1296"/>
      <c r="B7" s="1297"/>
      <c r="C7" s="1297"/>
      <c r="D7" s="1282"/>
      <c r="E7" s="1283"/>
      <c r="F7" s="1283"/>
      <c r="G7" s="1283"/>
      <c r="H7" s="1283"/>
      <c r="I7" s="1283"/>
      <c r="J7" s="1283"/>
      <c r="K7" s="1283"/>
      <c r="L7" s="1283"/>
      <c r="M7" s="1283"/>
      <c r="N7" s="1283"/>
      <c r="O7" s="1283"/>
      <c r="P7" s="1283"/>
      <c r="Q7" s="1283"/>
      <c r="R7" s="1283"/>
      <c r="S7" s="1283"/>
      <c r="T7" s="1283"/>
      <c r="U7" s="1283"/>
      <c r="V7" s="1283"/>
      <c r="W7" s="1283"/>
      <c r="X7" s="1283"/>
      <c r="Y7" s="1285"/>
      <c r="Z7" s="172"/>
      <c r="AA7" s="173"/>
      <c r="AB7" s="169"/>
      <c r="AC7" s="169"/>
      <c r="AD7" s="173"/>
      <c r="AE7" s="173"/>
      <c r="AF7" s="169"/>
    </row>
    <row r="8" spans="1:32" ht="21.75" customHeight="1">
      <c r="A8" s="1296"/>
      <c r="B8" s="1297"/>
      <c r="C8" s="1298"/>
      <c r="D8" s="1283" t="s">
        <v>605</v>
      </c>
      <c r="E8" s="1283" t="s">
        <v>606</v>
      </c>
      <c r="F8" s="1286" t="s">
        <v>607</v>
      </c>
      <c r="G8" s="1287" t="s">
        <v>352</v>
      </c>
      <c r="H8" s="1287"/>
      <c r="I8" s="1287"/>
      <c r="J8" s="1286" t="s">
        <v>158</v>
      </c>
      <c r="K8" s="1283" t="s">
        <v>605</v>
      </c>
      <c r="L8" s="1283" t="s">
        <v>606</v>
      </c>
      <c r="M8" s="1286" t="s">
        <v>607</v>
      </c>
      <c r="N8" s="1287" t="str">
        <f>G8</f>
        <v>Kiadásból</v>
      </c>
      <c r="O8" s="1287"/>
      <c r="P8" s="1287"/>
      <c r="Q8" s="1287"/>
      <c r="R8" s="1287"/>
      <c r="S8" s="1287"/>
      <c r="T8" s="1287"/>
      <c r="U8" s="1287"/>
      <c r="V8" s="1287"/>
      <c r="W8" s="1287"/>
      <c r="X8" s="1287"/>
      <c r="Y8" s="1288" t="s">
        <v>159</v>
      </c>
      <c r="Z8" s="172"/>
      <c r="AA8" s="173"/>
      <c r="AB8" s="169"/>
      <c r="AC8" s="169"/>
      <c r="AD8" s="173"/>
      <c r="AE8" s="173"/>
      <c r="AF8" s="169"/>
    </row>
    <row r="9" spans="1:32" ht="38.25" customHeight="1">
      <c r="A9" s="1296"/>
      <c r="B9" s="1297"/>
      <c r="C9" s="1298"/>
      <c r="D9" s="1283"/>
      <c r="E9" s="1283"/>
      <c r="F9" s="1286"/>
      <c r="G9" s="1289" t="s">
        <v>661</v>
      </c>
      <c r="H9" s="1291" t="s">
        <v>662</v>
      </c>
      <c r="I9" s="1292"/>
      <c r="J9" s="1286"/>
      <c r="K9" s="1283"/>
      <c r="L9" s="1283"/>
      <c r="M9" s="1286"/>
      <c r="N9" s="1289" t="s">
        <v>661</v>
      </c>
      <c r="O9" s="1291" t="s">
        <v>662</v>
      </c>
      <c r="P9" s="1292"/>
      <c r="Q9" s="277"/>
      <c r="R9" s="277"/>
      <c r="S9" s="279"/>
      <c r="T9" s="279"/>
      <c r="U9" s="277"/>
      <c r="V9" s="277"/>
      <c r="W9" s="1291" t="s">
        <v>662</v>
      </c>
      <c r="X9" s="1292"/>
      <c r="Y9" s="1288"/>
      <c r="Z9" s="168"/>
      <c r="AA9" s="169"/>
      <c r="AB9" s="169"/>
      <c r="AC9" s="169"/>
      <c r="AD9" s="169"/>
      <c r="AE9" s="169"/>
      <c r="AF9" s="169"/>
    </row>
    <row r="10" spans="1:32" ht="43.5" customHeight="1">
      <c r="A10" s="1296"/>
      <c r="B10" s="1297"/>
      <c r="C10" s="1298"/>
      <c r="D10" s="1283"/>
      <c r="E10" s="1283"/>
      <c r="F10" s="175"/>
      <c r="G10" s="1290"/>
      <c r="H10" s="175" t="s">
        <v>665</v>
      </c>
      <c r="I10" s="175" t="s">
        <v>666</v>
      </c>
      <c r="J10" s="1286"/>
      <c r="K10" s="1283"/>
      <c r="L10" s="1283"/>
      <c r="M10" s="1286"/>
      <c r="N10" s="1290"/>
      <c r="O10" s="175" t="s">
        <v>665</v>
      </c>
      <c r="P10" s="175" t="s">
        <v>666</v>
      </c>
      <c r="Q10" s="175"/>
      <c r="R10" s="175"/>
      <c r="S10" s="174"/>
      <c r="T10" s="174"/>
      <c r="U10" s="175"/>
      <c r="V10" s="176"/>
      <c r="W10" s="175" t="s">
        <v>665</v>
      </c>
      <c r="X10" s="175" t="s">
        <v>666</v>
      </c>
      <c r="Y10" s="1288"/>
      <c r="Z10" s="168"/>
      <c r="AA10" s="169"/>
      <c r="AB10" s="169"/>
      <c r="AC10" s="169"/>
      <c r="AD10" s="169"/>
      <c r="AE10" s="169"/>
      <c r="AF10" s="169"/>
    </row>
    <row r="11" spans="1:32" ht="12.75">
      <c r="A11" s="488"/>
      <c r="B11" s="169"/>
      <c r="C11" s="169"/>
      <c r="D11" s="723"/>
      <c r="E11" s="724"/>
      <c r="F11" s="724"/>
      <c r="G11" s="725"/>
      <c r="H11" s="168"/>
      <c r="I11" s="222"/>
      <c r="J11" s="242"/>
      <c r="K11" s="723"/>
      <c r="L11" s="725"/>
      <c r="M11" s="168"/>
      <c r="N11" s="711"/>
      <c r="O11" s="168"/>
      <c r="P11" s="168"/>
      <c r="Q11" s="168"/>
      <c r="R11" s="177"/>
      <c r="S11" s="168"/>
      <c r="T11" s="168"/>
      <c r="U11" s="193"/>
      <c r="V11" s="193"/>
      <c r="W11" s="221"/>
      <c r="X11" s="222"/>
      <c r="Y11" s="489"/>
      <c r="Z11" s="168"/>
      <c r="AA11" s="169"/>
      <c r="AB11" s="169"/>
      <c r="AC11" s="169"/>
      <c r="AD11" s="168"/>
      <c r="AE11" s="168"/>
      <c r="AF11" s="169"/>
    </row>
    <row r="12" spans="1:32" s="729" customFormat="1" ht="26.25" customHeight="1">
      <c r="A12" s="1329" t="s">
        <v>608</v>
      </c>
      <c r="B12" s="1330"/>
      <c r="C12" s="1330"/>
      <c r="D12" s="223">
        <v>0</v>
      </c>
      <c r="E12" s="218">
        <v>0</v>
      </c>
      <c r="F12" s="709">
        <v>0</v>
      </c>
      <c r="G12" s="244">
        <v>0</v>
      </c>
      <c r="H12" s="223">
        <f>F12</f>
        <v>0</v>
      </c>
      <c r="I12" s="224">
        <f>H12</f>
        <v>0</v>
      </c>
      <c r="J12" s="244"/>
      <c r="K12" s="223">
        <v>98037</v>
      </c>
      <c r="L12" s="224">
        <v>68037</v>
      </c>
      <c r="M12" s="217">
        <v>98037</v>
      </c>
      <c r="N12" s="218">
        <v>0</v>
      </c>
      <c r="O12" s="218"/>
      <c r="P12" s="218"/>
      <c r="Q12" s="218"/>
      <c r="R12" s="218"/>
      <c r="S12" s="218"/>
      <c r="T12" s="218"/>
      <c r="U12" s="219"/>
      <c r="V12" s="253"/>
      <c r="W12" s="223">
        <f>M12-N12</f>
        <v>98037</v>
      </c>
      <c r="X12" s="726">
        <f>K12/W12</f>
        <v>1</v>
      </c>
      <c r="Y12" s="727"/>
      <c r="Z12" s="198"/>
      <c r="AA12" s="728"/>
      <c r="AB12" s="728"/>
      <c r="AC12" s="728"/>
      <c r="AD12" s="198"/>
      <c r="AE12" s="198"/>
      <c r="AF12" s="728"/>
    </row>
    <row r="13" spans="1:32" ht="16.5" customHeight="1">
      <c r="A13" s="730"/>
      <c r="B13" s="731"/>
      <c r="C13" s="731"/>
      <c r="D13" s="732"/>
      <c r="E13" s="733"/>
      <c r="F13" s="734"/>
      <c r="G13" s="735"/>
      <c r="H13" s="732"/>
      <c r="I13" s="736"/>
      <c r="J13" s="735"/>
      <c r="K13" s="732"/>
      <c r="L13" s="736"/>
      <c r="M13" s="737"/>
      <c r="N13" s="733"/>
      <c r="O13" s="733"/>
      <c r="P13" s="733"/>
      <c r="Q13" s="733"/>
      <c r="R13" s="733"/>
      <c r="S13" s="733"/>
      <c r="T13" s="733"/>
      <c r="U13" s="738"/>
      <c r="V13" s="739"/>
      <c r="W13" s="732"/>
      <c r="X13" s="736"/>
      <c r="Y13" s="740"/>
      <c r="Z13" s="168"/>
      <c r="AA13" s="169"/>
      <c r="AB13" s="169"/>
      <c r="AC13" s="169"/>
      <c r="AD13" s="168"/>
      <c r="AE13" s="168"/>
      <c r="AF13" s="169"/>
    </row>
    <row r="14" spans="1:32" ht="16.5" customHeight="1">
      <c r="A14" s="1316" t="s">
        <v>609</v>
      </c>
      <c r="B14" s="1317"/>
      <c r="C14" s="1318"/>
      <c r="D14" s="228">
        <v>276192</v>
      </c>
      <c r="E14" s="194">
        <v>222029</v>
      </c>
      <c r="F14" s="703">
        <v>258592</v>
      </c>
      <c r="G14" s="706">
        <v>127856.98</v>
      </c>
      <c r="H14" s="228">
        <f>F14-G14</f>
        <v>130735.02</v>
      </c>
      <c r="I14" s="741">
        <f>H14/D14</f>
        <v>0.4733483229058047</v>
      </c>
      <c r="J14" s="742">
        <v>0.9057971014492754</v>
      </c>
      <c r="K14" s="228">
        <v>289084</v>
      </c>
      <c r="L14" s="695">
        <v>230221</v>
      </c>
      <c r="M14" s="690">
        <v>270907</v>
      </c>
      <c r="N14" s="195">
        <v>123282.22</v>
      </c>
      <c r="O14" s="743">
        <f aca="true" t="shared" si="0" ref="O14:R18">K14/D14*100-100</f>
        <v>4.667767350249093</v>
      </c>
      <c r="P14" s="250">
        <f t="shared" si="0"/>
        <v>3.6896081142553356</v>
      </c>
      <c r="Q14" s="250">
        <f t="shared" si="0"/>
        <v>4.762328300952845</v>
      </c>
      <c r="R14" s="250">
        <f t="shared" si="0"/>
        <v>-3.5780291384952108</v>
      </c>
      <c r="S14" s="194">
        <f aca="true" t="shared" si="1" ref="S14:V18">K14-D14</f>
        <v>12892</v>
      </c>
      <c r="T14" s="194">
        <f t="shared" si="1"/>
        <v>8192</v>
      </c>
      <c r="U14" s="194">
        <f t="shared" si="1"/>
        <v>12315</v>
      </c>
      <c r="V14" s="258">
        <f t="shared" si="1"/>
        <v>-4574.759999999995</v>
      </c>
      <c r="W14" s="744">
        <f>M14-N14</f>
        <v>147624.78</v>
      </c>
      <c r="X14" s="741">
        <f>W14/K14</f>
        <v>0.5106639592644352</v>
      </c>
      <c r="Y14" s="745">
        <v>0.3824091778202677</v>
      </c>
      <c r="Z14" s="168"/>
      <c r="AA14" s="179"/>
      <c r="AB14" s="169"/>
      <c r="AC14" s="169"/>
      <c r="AD14" s="168"/>
      <c r="AE14" s="180"/>
      <c r="AF14" s="169"/>
    </row>
    <row r="15" spans="1:32" ht="16.5" customHeight="1">
      <c r="A15" s="1304" t="s">
        <v>610</v>
      </c>
      <c r="B15" s="1305"/>
      <c r="C15" s="1306"/>
      <c r="D15" s="225">
        <v>329997</v>
      </c>
      <c r="E15" s="181">
        <v>264512</v>
      </c>
      <c r="F15" s="704">
        <v>308344</v>
      </c>
      <c r="G15" s="707">
        <v>158720.28</v>
      </c>
      <c r="H15" s="225">
        <f>F15-G15</f>
        <v>149623.72</v>
      </c>
      <c r="I15" s="241">
        <f>H15/D15</f>
        <v>0.4534093340242487</v>
      </c>
      <c r="J15" s="325">
        <v>3.216374269005848</v>
      </c>
      <c r="K15" s="225">
        <v>349045</v>
      </c>
      <c r="L15" s="226">
        <v>277367</v>
      </c>
      <c r="M15" s="691">
        <v>328392</v>
      </c>
      <c r="N15" s="182">
        <v>153982.56</v>
      </c>
      <c r="O15" s="746">
        <f t="shared" si="0"/>
        <v>5.772173686427465</v>
      </c>
      <c r="P15" s="183">
        <f t="shared" si="0"/>
        <v>4.8598929349141144</v>
      </c>
      <c r="Q15" s="183">
        <f t="shared" si="0"/>
        <v>6.501829125911328</v>
      </c>
      <c r="R15" s="183">
        <f t="shared" si="0"/>
        <v>-2.984949371309071</v>
      </c>
      <c r="S15" s="181">
        <f t="shared" si="1"/>
        <v>19048</v>
      </c>
      <c r="T15" s="181">
        <f t="shared" si="1"/>
        <v>12855</v>
      </c>
      <c r="U15" s="181">
        <f t="shared" si="1"/>
        <v>20048</v>
      </c>
      <c r="V15" s="255">
        <f t="shared" si="1"/>
        <v>-4737.720000000001</v>
      </c>
      <c r="W15" s="261">
        <f>M15-N15</f>
        <v>174409.44</v>
      </c>
      <c r="X15" s="241">
        <f>W15/K15</f>
        <v>0.49967608761048005</v>
      </c>
      <c r="Y15" s="490">
        <v>3.1866464339908953</v>
      </c>
      <c r="Z15" s="168"/>
      <c r="AA15" s="179"/>
      <c r="AB15" s="169"/>
      <c r="AC15" s="169"/>
      <c r="AD15" s="168"/>
      <c r="AE15" s="180"/>
      <c r="AF15" s="169"/>
    </row>
    <row r="16" spans="1:32" ht="16.5" customHeight="1">
      <c r="A16" s="1304" t="s">
        <v>611</v>
      </c>
      <c r="B16" s="1305"/>
      <c r="C16" s="1306"/>
      <c r="D16" s="225">
        <v>290771</v>
      </c>
      <c r="E16" s="181">
        <v>233080</v>
      </c>
      <c r="F16" s="704">
        <v>270000</v>
      </c>
      <c r="G16" s="707">
        <v>137648.26</v>
      </c>
      <c r="H16" s="225">
        <f>F16-G16</f>
        <v>132351.74</v>
      </c>
      <c r="I16" s="241">
        <f>H16/D16</f>
        <v>0.45517517221456055</v>
      </c>
      <c r="J16" s="325">
        <v>4.846526655896607</v>
      </c>
      <c r="K16" s="225">
        <v>302582</v>
      </c>
      <c r="L16" s="226">
        <v>239200</v>
      </c>
      <c r="M16" s="691">
        <v>279012</v>
      </c>
      <c r="N16" s="182">
        <v>131708.82</v>
      </c>
      <c r="O16" s="746">
        <f t="shared" si="0"/>
        <v>4.061959411358075</v>
      </c>
      <c r="P16" s="183">
        <f t="shared" si="0"/>
        <v>2.6257079114467103</v>
      </c>
      <c r="Q16" s="183">
        <f t="shared" si="0"/>
        <v>3.3377777777777737</v>
      </c>
      <c r="R16" s="183">
        <f t="shared" si="0"/>
        <v>-4.3149401234712315</v>
      </c>
      <c r="S16" s="181">
        <f t="shared" si="1"/>
        <v>11811</v>
      </c>
      <c r="T16" s="181">
        <f t="shared" si="1"/>
        <v>6120</v>
      </c>
      <c r="U16" s="181">
        <f t="shared" si="1"/>
        <v>9012</v>
      </c>
      <c r="V16" s="255">
        <f t="shared" si="1"/>
        <v>-5939.440000000002</v>
      </c>
      <c r="W16" s="261">
        <f>M16-N16</f>
        <v>147303.18</v>
      </c>
      <c r="X16" s="241">
        <f>W16/K16</f>
        <v>0.486820696538459</v>
      </c>
      <c r="Y16" s="490">
        <v>4.3478260869565215</v>
      </c>
      <c r="Z16" s="168"/>
      <c r="AA16" s="179"/>
      <c r="AB16" s="169"/>
      <c r="AC16" s="169"/>
      <c r="AD16" s="168"/>
      <c r="AE16" s="180"/>
      <c r="AF16" s="169"/>
    </row>
    <row r="17" spans="1:32" ht="16.5" customHeight="1">
      <c r="A17" s="1307" t="s">
        <v>612</v>
      </c>
      <c r="B17" s="1308"/>
      <c r="C17" s="1309"/>
      <c r="D17" s="251">
        <v>303844</v>
      </c>
      <c r="E17" s="186">
        <v>246843</v>
      </c>
      <c r="F17" s="714">
        <v>283849</v>
      </c>
      <c r="G17" s="708">
        <v>137373.28</v>
      </c>
      <c r="H17" s="251">
        <f>F17-G17</f>
        <v>146475.72</v>
      </c>
      <c r="I17" s="272">
        <f>H17/D17</f>
        <v>0.48207540711680996</v>
      </c>
      <c r="J17" s="397">
        <v>3.608247422680412</v>
      </c>
      <c r="K17" s="251">
        <v>321914</v>
      </c>
      <c r="L17" s="227">
        <v>261303</v>
      </c>
      <c r="M17" s="694">
        <v>301065</v>
      </c>
      <c r="N17" s="187">
        <v>134859.52</v>
      </c>
      <c r="O17" s="747">
        <f t="shared" si="0"/>
        <v>5.94713076447124</v>
      </c>
      <c r="P17" s="252">
        <f t="shared" si="0"/>
        <v>5.857974502011402</v>
      </c>
      <c r="Q17" s="252">
        <f t="shared" si="0"/>
        <v>6.065196636239705</v>
      </c>
      <c r="R17" s="252">
        <f t="shared" si="0"/>
        <v>-1.8298755041737422</v>
      </c>
      <c r="S17" s="186">
        <f t="shared" si="1"/>
        <v>18070</v>
      </c>
      <c r="T17" s="186">
        <f t="shared" si="1"/>
        <v>14460</v>
      </c>
      <c r="U17" s="186">
        <f t="shared" si="1"/>
        <v>17216</v>
      </c>
      <c r="V17" s="259">
        <f t="shared" si="1"/>
        <v>-2513.7600000000093</v>
      </c>
      <c r="W17" s="677">
        <f>M17-N17</f>
        <v>166205.48</v>
      </c>
      <c r="X17" s="272">
        <f>W17/K17</f>
        <v>0.5163039818088061</v>
      </c>
      <c r="Y17" s="748">
        <v>2.030456852791878</v>
      </c>
      <c r="Z17" s="168"/>
      <c r="AA17" s="179"/>
      <c r="AB17" s="169"/>
      <c r="AC17" s="169"/>
      <c r="AD17" s="168"/>
      <c r="AE17" s="180"/>
      <c r="AF17" s="169"/>
    </row>
    <row r="18" spans="1:32" s="265" customFormat="1" ht="16.5" customHeight="1">
      <c r="A18" s="1313" t="s">
        <v>613</v>
      </c>
      <c r="B18" s="1314"/>
      <c r="C18" s="1315" t="s">
        <v>614</v>
      </c>
      <c r="D18" s="215">
        <f>SUM(D14:D17)</f>
        <v>1200804</v>
      </c>
      <c r="E18" s="216">
        <f>SUM(E14:E17)</f>
        <v>966464</v>
      </c>
      <c r="F18" s="673">
        <f>SUM(F14:F17)</f>
        <v>1120785</v>
      </c>
      <c r="G18" s="712">
        <f>SUM(G14:G17)</f>
        <v>561598.8</v>
      </c>
      <c r="H18" s="215">
        <f>SUM(H14:H17)</f>
        <v>559186.2</v>
      </c>
      <c r="I18" s="262">
        <f>H18/D18</f>
        <v>0.46567649674717937</v>
      </c>
      <c r="J18" s="326">
        <v>3.200656544932294</v>
      </c>
      <c r="K18" s="215">
        <f>SUM(K14:K17)</f>
        <v>1262625</v>
      </c>
      <c r="L18" s="229">
        <f>SUM(L14:L17)</f>
        <v>1008091</v>
      </c>
      <c r="M18" s="689">
        <f>SUM(M14:M17)</f>
        <v>1179376</v>
      </c>
      <c r="N18" s="216">
        <f>SUM(N14:N17)</f>
        <v>543833.12</v>
      </c>
      <c r="O18" s="749">
        <f t="shared" si="0"/>
        <v>5.148300638572167</v>
      </c>
      <c r="P18" s="234">
        <f t="shared" si="0"/>
        <v>4.307144394410955</v>
      </c>
      <c r="Q18" s="234">
        <f t="shared" si="0"/>
        <v>5.227675245475268</v>
      </c>
      <c r="R18" s="234">
        <f t="shared" si="0"/>
        <v>-3.1634113178304517</v>
      </c>
      <c r="S18" s="235">
        <f t="shared" si="1"/>
        <v>61821</v>
      </c>
      <c r="T18" s="235">
        <f t="shared" si="1"/>
        <v>41627</v>
      </c>
      <c r="U18" s="235">
        <f t="shared" si="1"/>
        <v>58591</v>
      </c>
      <c r="V18" s="257">
        <f t="shared" si="1"/>
        <v>-17765.68000000005</v>
      </c>
      <c r="W18" s="266">
        <f>M18-N18</f>
        <v>635542.88</v>
      </c>
      <c r="X18" s="262">
        <f>W18/K18</f>
        <v>0.5033504643104643</v>
      </c>
      <c r="Y18" s="491">
        <v>2.5898078529657473</v>
      </c>
      <c r="Z18" s="192"/>
      <c r="AA18" s="192"/>
      <c r="AB18" s="263"/>
      <c r="AC18" s="263"/>
      <c r="AD18" s="192"/>
      <c r="AE18" s="264"/>
      <c r="AF18" s="263"/>
    </row>
    <row r="19" spans="1:32" ht="16.5" customHeight="1">
      <c r="A19" s="750"/>
      <c r="B19" s="751"/>
      <c r="C19" s="751"/>
      <c r="D19" s="230"/>
      <c r="E19" s="752"/>
      <c r="F19" s="753"/>
      <c r="G19" s="754"/>
      <c r="H19" s="755"/>
      <c r="I19" s="756"/>
      <c r="J19" s="754"/>
      <c r="K19" s="755"/>
      <c r="L19" s="756"/>
      <c r="M19" s="757"/>
      <c r="N19" s="752"/>
      <c r="O19" s="233"/>
      <c r="P19" s="233"/>
      <c r="Q19" s="233"/>
      <c r="R19" s="233"/>
      <c r="S19" s="231"/>
      <c r="T19" s="231"/>
      <c r="U19" s="758"/>
      <c r="V19" s="254"/>
      <c r="W19" s="260"/>
      <c r="X19" s="232"/>
      <c r="Y19" s="759"/>
      <c r="Z19" s="168"/>
      <c r="AA19" s="179"/>
      <c r="AB19" s="169"/>
      <c r="AC19" s="169"/>
      <c r="AD19" s="168"/>
      <c r="AE19" s="180"/>
      <c r="AF19" s="169"/>
    </row>
    <row r="20" spans="1:32" ht="11.25" customHeight="1">
      <c r="A20" s="760"/>
      <c r="B20" s="761"/>
      <c r="C20" s="761"/>
      <c r="D20" s="236"/>
      <c r="E20" s="762"/>
      <c r="F20" s="763"/>
      <c r="G20" s="764"/>
      <c r="H20" s="765"/>
      <c r="I20" s="766"/>
      <c r="J20" s="764"/>
      <c r="K20" s="765"/>
      <c r="L20" s="766"/>
      <c r="M20" s="767"/>
      <c r="N20" s="762"/>
      <c r="O20" s="188"/>
      <c r="P20" s="188"/>
      <c r="Q20" s="188"/>
      <c r="R20" s="188"/>
      <c r="S20" s="189"/>
      <c r="T20" s="189"/>
      <c r="U20" s="189"/>
      <c r="V20" s="256"/>
      <c r="W20" s="768"/>
      <c r="X20" s="237"/>
      <c r="Y20" s="495"/>
      <c r="Z20" s="168"/>
      <c r="AA20" s="179"/>
      <c r="AB20" s="169"/>
      <c r="AC20" s="169"/>
      <c r="AD20" s="168"/>
      <c r="AE20" s="180"/>
      <c r="AF20" s="169"/>
    </row>
    <row r="21" spans="1:32" ht="34.5" customHeight="1">
      <c r="A21" s="1325" t="s">
        <v>615</v>
      </c>
      <c r="B21" s="1326"/>
      <c r="C21" s="1326"/>
      <c r="D21" s="228">
        <v>341655</v>
      </c>
      <c r="E21" s="194">
        <v>275420</v>
      </c>
      <c r="F21" s="703">
        <v>320084</v>
      </c>
      <c r="G21" s="706">
        <v>195287.675</v>
      </c>
      <c r="H21" s="228">
        <f aca="true" t="shared" si="2" ref="H21:H37">F21-G21</f>
        <v>124796.32500000001</v>
      </c>
      <c r="I21" s="741">
        <f>H21/D21</f>
        <v>0.36527000921982705</v>
      </c>
      <c r="J21" s="742">
        <v>8.397932816537468</v>
      </c>
      <c r="K21" s="228">
        <v>345255</v>
      </c>
      <c r="L21" s="695">
        <v>267305</v>
      </c>
      <c r="M21" s="690">
        <v>323609</v>
      </c>
      <c r="N21" s="195">
        <v>206063.06</v>
      </c>
      <c r="O21" s="743">
        <f>K21/D21*100-100</f>
        <v>1.0536945163981244</v>
      </c>
      <c r="P21" s="250">
        <f>L21/E21*100-100</f>
        <v>-2.946409120615783</v>
      </c>
      <c r="Q21" s="250">
        <f>M21/F21*100-100</f>
        <v>1.1012734157283717</v>
      </c>
      <c r="R21" s="250">
        <f>N21/G21*100-100</f>
        <v>5.517698441542734</v>
      </c>
      <c r="S21" s="194">
        <f aca="true" t="shared" si="3" ref="S21:S38">K21-D21</f>
        <v>3600</v>
      </c>
      <c r="T21" s="194">
        <f aca="true" t="shared" si="4" ref="T21:T38">L21-E21</f>
        <v>-8115</v>
      </c>
      <c r="U21" s="194">
        <f aca="true" t="shared" si="5" ref="U21:U38">M21-F21</f>
        <v>3525</v>
      </c>
      <c r="V21" s="258">
        <f aca="true" t="shared" si="6" ref="V21:V38">N21-G21</f>
        <v>10775.38500000001</v>
      </c>
      <c r="W21" s="744">
        <f aca="true" t="shared" si="7" ref="W21:W38">M21-N21</f>
        <v>117545.94</v>
      </c>
      <c r="X21" s="741">
        <f aca="true" t="shared" si="8" ref="X21:X29">W21/K21</f>
        <v>0.3404612243124647</v>
      </c>
      <c r="Y21" s="745">
        <v>9.12863070539419</v>
      </c>
      <c r="Z21" s="168"/>
      <c r="AA21" s="179"/>
      <c r="AB21" s="169"/>
      <c r="AC21" s="169"/>
      <c r="AD21" s="168"/>
      <c r="AE21" s="180"/>
      <c r="AF21" s="169"/>
    </row>
    <row r="22" spans="1:32" ht="16.5" customHeight="1">
      <c r="A22" s="1327" t="s">
        <v>616</v>
      </c>
      <c r="B22" s="1328"/>
      <c r="C22" s="1328"/>
      <c r="D22" s="225">
        <v>0</v>
      </c>
      <c r="E22" s="181">
        <v>0</v>
      </c>
      <c r="F22" s="704">
        <v>0</v>
      </c>
      <c r="G22" s="707">
        <v>0</v>
      </c>
      <c r="H22" s="225">
        <f t="shared" si="2"/>
        <v>0</v>
      </c>
      <c r="I22" s="241">
        <v>0</v>
      </c>
      <c r="J22" s="325"/>
      <c r="K22" s="225">
        <v>116625</v>
      </c>
      <c r="L22" s="226">
        <v>111195</v>
      </c>
      <c r="M22" s="691">
        <v>113125</v>
      </c>
      <c r="N22" s="182">
        <v>33150.8</v>
      </c>
      <c r="O22" s="196"/>
      <c r="P22" s="196"/>
      <c r="Q22" s="196"/>
      <c r="R22" s="196"/>
      <c r="S22" s="181">
        <f t="shared" si="3"/>
        <v>116625</v>
      </c>
      <c r="T22" s="181">
        <f t="shared" si="4"/>
        <v>111195</v>
      </c>
      <c r="U22" s="181">
        <f t="shared" si="5"/>
        <v>113125</v>
      </c>
      <c r="V22" s="255">
        <f t="shared" si="6"/>
        <v>33150.8</v>
      </c>
      <c r="W22" s="261">
        <f t="shared" si="7"/>
        <v>79974.2</v>
      </c>
      <c r="X22" s="241">
        <f t="shared" si="8"/>
        <v>0.6857380493033226</v>
      </c>
      <c r="Y22" s="494"/>
      <c r="Z22" s="168"/>
      <c r="AA22" s="179"/>
      <c r="AB22" s="169"/>
      <c r="AC22" s="169"/>
      <c r="AD22" s="168"/>
      <c r="AE22" s="180"/>
      <c r="AF22" s="169"/>
    </row>
    <row r="23" spans="1:32" ht="16.5" customHeight="1">
      <c r="A23" s="1304" t="s">
        <v>617</v>
      </c>
      <c r="B23" s="1305"/>
      <c r="C23" s="1306"/>
      <c r="D23" s="225">
        <v>238694</v>
      </c>
      <c r="E23" s="181">
        <v>182783</v>
      </c>
      <c r="F23" s="704">
        <v>217848</v>
      </c>
      <c r="G23" s="707">
        <v>180730.215</v>
      </c>
      <c r="H23" s="225">
        <f t="shared" si="2"/>
        <v>37117.785</v>
      </c>
      <c r="I23" s="241">
        <f aca="true" t="shared" si="9" ref="I23:I35">H23/D23</f>
        <v>0.15550363645504287</v>
      </c>
      <c r="J23" s="325">
        <v>11.145510835913312</v>
      </c>
      <c r="K23" s="225">
        <v>236598</v>
      </c>
      <c r="L23" s="226">
        <v>180144</v>
      </c>
      <c r="M23" s="691">
        <v>216041</v>
      </c>
      <c r="N23" s="182">
        <v>163126.86</v>
      </c>
      <c r="O23" s="746">
        <f aca="true" t="shared" si="10" ref="O23:R29">K23/D23*100-100</f>
        <v>-0.8781117246348913</v>
      </c>
      <c r="P23" s="183">
        <f t="shared" si="10"/>
        <v>-1.4437885361330132</v>
      </c>
      <c r="Q23" s="183">
        <f t="shared" si="10"/>
        <v>-0.8294774338070567</v>
      </c>
      <c r="R23" s="183">
        <f t="shared" si="10"/>
        <v>-9.740128400776825</v>
      </c>
      <c r="S23" s="181">
        <f t="shared" si="3"/>
        <v>-2096</v>
      </c>
      <c r="T23" s="181">
        <f t="shared" si="4"/>
        <v>-2639</v>
      </c>
      <c r="U23" s="181">
        <f t="shared" si="5"/>
        <v>-1807</v>
      </c>
      <c r="V23" s="255">
        <f t="shared" si="6"/>
        <v>-17603.35500000001</v>
      </c>
      <c r="W23" s="261">
        <f t="shared" si="7"/>
        <v>52914.140000000014</v>
      </c>
      <c r="X23" s="241">
        <f t="shared" si="8"/>
        <v>0.22364576200982264</v>
      </c>
      <c r="Y23" s="490">
        <v>9.984152139461171</v>
      </c>
      <c r="Z23" s="168"/>
      <c r="AA23" s="179"/>
      <c r="AB23" s="169"/>
      <c r="AC23" s="169"/>
      <c r="AD23" s="168"/>
      <c r="AE23" s="180"/>
      <c r="AF23" s="169"/>
    </row>
    <row r="24" spans="1:32" ht="16.5" customHeight="1">
      <c r="A24" s="1304" t="s">
        <v>618</v>
      </c>
      <c r="B24" s="1305"/>
      <c r="C24" s="1306"/>
      <c r="D24" s="225">
        <v>173866</v>
      </c>
      <c r="E24" s="181">
        <v>133468</v>
      </c>
      <c r="F24" s="704">
        <v>158349</v>
      </c>
      <c r="G24" s="707">
        <v>122669.505</v>
      </c>
      <c r="H24" s="225">
        <f t="shared" si="2"/>
        <v>35679.494999999995</v>
      </c>
      <c r="I24" s="241">
        <f t="shared" si="9"/>
        <v>0.2052126062599933</v>
      </c>
      <c r="J24" s="325">
        <v>3.50109409190372</v>
      </c>
      <c r="K24" s="225">
        <v>183843</v>
      </c>
      <c r="L24" s="226">
        <v>139085</v>
      </c>
      <c r="M24" s="691">
        <v>165990</v>
      </c>
      <c r="N24" s="182">
        <v>113665.32</v>
      </c>
      <c r="O24" s="746">
        <f t="shared" si="10"/>
        <v>5.738327217512335</v>
      </c>
      <c r="P24" s="183">
        <f t="shared" si="10"/>
        <v>4.2084994155902535</v>
      </c>
      <c r="Q24" s="183">
        <f t="shared" si="10"/>
        <v>4.825417274501248</v>
      </c>
      <c r="R24" s="183">
        <f t="shared" si="10"/>
        <v>-7.340198364703596</v>
      </c>
      <c r="S24" s="181">
        <f t="shared" si="3"/>
        <v>9977</v>
      </c>
      <c r="T24" s="181">
        <f t="shared" si="4"/>
        <v>5617</v>
      </c>
      <c r="U24" s="181">
        <f t="shared" si="5"/>
        <v>7641</v>
      </c>
      <c r="V24" s="255">
        <f t="shared" si="6"/>
        <v>-9004.184999999998</v>
      </c>
      <c r="W24" s="261">
        <f t="shared" si="7"/>
        <v>52324.67999999999</v>
      </c>
      <c r="X24" s="241">
        <f t="shared" si="8"/>
        <v>0.2846161126613469</v>
      </c>
      <c r="Y24" s="490">
        <v>2.7586206896551726</v>
      </c>
      <c r="Z24" s="168"/>
      <c r="AA24" s="179"/>
      <c r="AB24" s="169"/>
      <c r="AC24" s="169"/>
      <c r="AD24" s="168"/>
      <c r="AE24" s="180"/>
      <c r="AF24" s="169"/>
    </row>
    <row r="25" spans="1:32" ht="16.5" customHeight="1">
      <c r="A25" s="1304" t="s">
        <v>619</v>
      </c>
      <c r="B25" s="1305"/>
      <c r="C25" s="1306"/>
      <c r="D25" s="225">
        <v>179947</v>
      </c>
      <c r="E25" s="181">
        <v>139343</v>
      </c>
      <c r="F25" s="704">
        <v>162048</v>
      </c>
      <c r="G25" s="707">
        <v>131776.36</v>
      </c>
      <c r="H25" s="225">
        <f t="shared" si="2"/>
        <v>30271.640000000014</v>
      </c>
      <c r="I25" s="241">
        <f t="shared" si="9"/>
        <v>0.1682253107859537</v>
      </c>
      <c r="J25" s="325">
        <v>4.2</v>
      </c>
      <c r="K25" s="225">
        <v>181231</v>
      </c>
      <c r="L25" s="226">
        <v>135858</v>
      </c>
      <c r="M25" s="691">
        <v>162005</v>
      </c>
      <c r="N25" s="182">
        <v>122230.1</v>
      </c>
      <c r="O25" s="746">
        <f t="shared" si="10"/>
        <v>0.7135434322328251</v>
      </c>
      <c r="P25" s="183">
        <f t="shared" si="10"/>
        <v>-2.5010226563228883</v>
      </c>
      <c r="Q25" s="183">
        <f t="shared" si="10"/>
        <v>-0.0265353475513308</v>
      </c>
      <c r="R25" s="183">
        <f t="shared" si="10"/>
        <v>-7.24428873281974</v>
      </c>
      <c r="S25" s="181">
        <f t="shared" si="3"/>
        <v>1284</v>
      </c>
      <c r="T25" s="181">
        <f t="shared" si="4"/>
        <v>-3485</v>
      </c>
      <c r="U25" s="181">
        <f t="shared" si="5"/>
        <v>-43</v>
      </c>
      <c r="V25" s="255">
        <f t="shared" si="6"/>
        <v>-9546.25999999998</v>
      </c>
      <c r="W25" s="261">
        <f t="shared" si="7"/>
        <v>39774.899999999994</v>
      </c>
      <c r="X25" s="241">
        <f t="shared" si="8"/>
        <v>0.21947073072487597</v>
      </c>
      <c r="Y25" s="490">
        <v>4.990019960079841</v>
      </c>
      <c r="Z25" s="168"/>
      <c r="AA25" s="179"/>
      <c r="AB25" s="169"/>
      <c r="AC25" s="169"/>
      <c r="AD25" s="168"/>
      <c r="AE25" s="180"/>
      <c r="AF25" s="169"/>
    </row>
    <row r="26" spans="1:32" ht="16.5" customHeight="1">
      <c r="A26" s="1304" t="s">
        <v>620</v>
      </c>
      <c r="B26" s="1305"/>
      <c r="C26" s="1306"/>
      <c r="D26" s="225">
        <v>220603</v>
      </c>
      <c r="E26" s="181">
        <v>166274</v>
      </c>
      <c r="F26" s="704">
        <v>202988</v>
      </c>
      <c r="G26" s="707">
        <v>150098.885</v>
      </c>
      <c r="H26" s="225">
        <f t="shared" si="2"/>
        <v>52889.11499999999</v>
      </c>
      <c r="I26" s="241">
        <f t="shared" si="9"/>
        <v>0.23974794087115764</v>
      </c>
      <c r="J26" s="325">
        <v>4.545454545454546</v>
      </c>
      <c r="K26" s="225">
        <v>235339</v>
      </c>
      <c r="L26" s="226">
        <v>168305</v>
      </c>
      <c r="M26" s="691">
        <v>218195</v>
      </c>
      <c r="N26" s="182">
        <v>135321.34</v>
      </c>
      <c r="O26" s="746">
        <f t="shared" si="10"/>
        <v>6.6798728938409795</v>
      </c>
      <c r="P26" s="183">
        <f t="shared" si="10"/>
        <v>1.2214778017008143</v>
      </c>
      <c r="Q26" s="183">
        <f t="shared" si="10"/>
        <v>7.491575856700877</v>
      </c>
      <c r="R26" s="183">
        <f t="shared" si="10"/>
        <v>-9.845206378448452</v>
      </c>
      <c r="S26" s="181">
        <f t="shared" si="3"/>
        <v>14736</v>
      </c>
      <c r="T26" s="181">
        <f t="shared" si="4"/>
        <v>2031</v>
      </c>
      <c r="U26" s="181">
        <f t="shared" si="5"/>
        <v>15207</v>
      </c>
      <c r="V26" s="255">
        <f t="shared" si="6"/>
        <v>-14777.545000000013</v>
      </c>
      <c r="W26" s="261">
        <f t="shared" si="7"/>
        <v>82873.66</v>
      </c>
      <c r="X26" s="241">
        <f t="shared" si="8"/>
        <v>0.3521458831727848</v>
      </c>
      <c r="Y26" s="490">
        <v>4.322200392927308</v>
      </c>
      <c r="Z26" s="168"/>
      <c r="AA26" s="179"/>
      <c r="AB26" s="169"/>
      <c r="AC26" s="169"/>
      <c r="AD26" s="168"/>
      <c r="AE26" s="180"/>
      <c r="AF26" s="169"/>
    </row>
    <row r="27" spans="1:32" ht="16.5" customHeight="1">
      <c r="A27" s="1304" t="s">
        <v>621</v>
      </c>
      <c r="B27" s="1305"/>
      <c r="C27" s="1306"/>
      <c r="D27" s="225">
        <v>151866</v>
      </c>
      <c r="E27" s="181">
        <v>123756</v>
      </c>
      <c r="F27" s="704">
        <v>146090</v>
      </c>
      <c r="G27" s="707">
        <v>83885.17</v>
      </c>
      <c r="H27" s="225">
        <f t="shared" si="2"/>
        <v>62204.83</v>
      </c>
      <c r="I27" s="241">
        <f t="shared" si="9"/>
        <v>0.40960340036611226</v>
      </c>
      <c r="J27" s="325">
        <v>4.363636363636364</v>
      </c>
      <c r="K27" s="225">
        <v>166075</v>
      </c>
      <c r="L27" s="226">
        <v>129887</v>
      </c>
      <c r="M27" s="691">
        <v>163682</v>
      </c>
      <c r="N27" s="182">
        <v>89443.04</v>
      </c>
      <c r="O27" s="746">
        <f t="shared" si="10"/>
        <v>9.356274610511889</v>
      </c>
      <c r="P27" s="183">
        <f t="shared" si="10"/>
        <v>4.954103235398691</v>
      </c>
      <c r="Q27" s="183">
        <f t="shared" si="10"/>
        <v>12.041891984393189</v>
      </c>
      <c r="R27" s="183">
        <f t="shared" si="10"/>
        <v>6.625569215631316</v>
      </c>
      <c r="S27" s="181">
        <f t="shared" si="3"/>
        <v>14209</v>
      </c>
      <c r="T27" s="181">
        <f t="shared" si="4"/>
        <v>6131</v>
      </c>
      <c r="U27" s="181">
        <f t="shared" si="5"/>
        <v>17592</v>
      </c>
      <c r="V27" s="255">
        <f t="shared" si="6"/>
        <v>5557.869999999995</v>
      </c>
      <c r="W27" s="261">
        <f t="shared" si="7"/>
        <v>74238.96</v>
      </c>
      <c r="X27" s="241">
        <f t="shared" si="8"/>
        <v>0.4470206834261629</v>
      </c>
      <c r="Y27" s="490">
        <v>3.9215686274509802</v>
      </c>
      <c r="Z27" s="168"/>
      <c r="AA27" s="179"/>
      <c r="AB27" s="169"/>
      <c r="AC27" s="169"/>
      <c r="AD27" s="168"/>
      <c r="AE27" s="180"/>
      <c r="AF27" s="169"/>
    </row>
    <row r="28" spans="1:32" ht="16.5" customHeight="1">
      <c r="A28" s="1304" t="s">
        <v>622</v>
      </c>
      <c r="B28" s="1305"/>
      <c r="C28" s="1306"/>
      <c r="D28" s="225">
        <v>162354</v>
      </c>
      <c r="E28" s="181">
        <v>131291</v>
      </c>
      <c r="F28" s="704">
        <v>150913</v>
      </c>
      <c r="G28" s="707">
        <v>120700.505</v>
      </c>
      <c r="H28" s="225">
        <f t="shared" si="2"/>
        <v>30212.494999999995</v>
      </c>
      <c r="I28" s="241">
        <f t="shared" si="9"/>
        <v>0.18609024107813787</v>
      </c>
      <c r="J28" s="325">
        <v>7.113821138211382</v>
      </c>
      <c r="K28" s="225">
        <v>171201</v>
      </c>
      <c r="L28" s="226">
        <v>135808</v>
      </c>
      <c r="M28" s="691">
        <v>158652</v>
      </c>
      <c r="N28" s="182">
        <v>121881.28</v>
      </c>
      <c r="O28" s="746">
        <f t="shared" si="10"/>
        <v>5.449203592150482</v>
      </c>
      <c r="P28" s="183">
        <f t="shared" si="10"/>
        <v>3.440449078763976</v>
      </c>
      <c r="Q28" s="183">
        <f t="shared" si="10"/>
        <v>5.12812017520028</v>
      </c>
      <c r="R28" s="183">
        <f t="shared" si="10"/>
        <v>0.9782684836322773</v>
      </c>
      <c r="S28" s="181">
        <f t="shared" si="3"/>
        <v>8847</v>
      </c>
      <c r="T28" s="181">
        <f t="shared" si="4"/>
        <v>4517</v>
      </c>
      <c r="U28" s="181">
        <f t="shared" si="5"/>
        <v>7739</v>
      </c>
      <c r="V28" s="255">
        <f t="shared" si="6"/>
        <v>1180.7749999999942</v>
      </c>
      <c r="W28" s="261">
        <f t="shared" si="7"/>
        <v>36770.72</v>
      </c>
      <c r="X28" s="241">
        <f t="shared" si="8"/>
        <v>0.2147809884288059</v>
      </c>
      <c r="Y28" s="490">
        <v>6.378600823045268</v>
      </c>
      <c r="Z28" s="168"/>
      <c r="AA28" s="179"/>
      <c r="AB28" s="169"/>
      <c r="AC28" s="169"/>
      <c r="AD28" s="168"/>
      <c r="AE28" s="180"/>
      <c r="AF28" s="169"/>
    </row>
    <row r="29" spans="1:32" ht="16.5" customHeight="1">
      <c r="A29" s="1304" t="s">
        <v>623</v>
      </c>
      <c r="B29" s="1305"/>
      <c r="C29" s="1306"/>
      <c r="D29" s="225">
        <v>301131</v>
      </c>
      <c r="E29" s="181">
        <v>239995</v>
      </c>
      <c r="F29" s="704">
        <v>281327</v>
      </c>
      <c r="G29" s="707">
        <v>215756.85</v>
      </c>
      <c r="H29" s="225">
        <f t="shared" si="2"/>
        <v>65570.15</v>
      </c>
      <c r="I29" s="241">
        <f t="shared" si="9"/>
        <v>0.21774626325419832</v>
      </c>
      <c r="J29" s="325">
        <v>5.349794238683128</v>
      </c>
      <c r="K29" s="225">
        <v>310441</v>
      </c>
      <c r="L29" s="226">
        <v>241244</v>
      </c>
      <c r="M29" s="691">
        <v>287637</v>
      </c>
      <c r="N29" s="182">
        <v>206060.76</v>
      </c>
      <c r="O29" s="746">
        <f t="shared" si="10"/>
        <v>3.091677708372771</v>
      </c>
      <c r="P29" s="183">
        <f t="shared" si="10"/>
        <v>0.5204275089064367</v>
      </c>
      <c r="Q29" s="183">
        <f t="shared" si="10"/>
        <v>2.2429414880192837</v>
      </c>
      <c r="R29" s="183">
        <f t="shared" si="10"/>
        <v>-4.493989414472821</v>
      </c>
      <c r="S29" s="181">
        <f t="shared" si="3"/>
        <v>9310</v>
      </c>
      <c r="T29" s="181">
        <f t="shared" si="4"/>
        <v>1249</v>
      </c>
      <c r="U29" s="181">
        <f t="shared" si="5"/>
        <v>6310</v>
      </c>
      <c r="V29" s="255">
        <f t="shared" si="6"/>
        <v>-9696.089999999997</v>
      </c>
      <c r="W29" s="261">
        <f t="shared" si="7"/>
        <v>81576.23999999999</v>
      </c>
      <c r="X29" s="241">
        <f t="shared" si="8"/>
        <v>0.2627753421745194</v>
      </c>
      <c r="Y29" s="490">
        <v>5.655172413793103</v>
      </c>
      <c r="Z29" s="168"/>
      <c r="AA29" s="179"/>
      <c r="AB29" s="169"/>
      <c r="AC29" s="169"/>
      <c r="AD29" s="168"/>
      <c r="AE29" s="180"/>
      <c r="AF29" s="169"/>
    </row>
    <row r="30" spans="1:32" ht="16.5" customHeight="1">
      <c r="A30" s="1304" t="s">
        <v>624</v>
      </c>
      <c r="B30" s="1305"/>
      <c r="C30" s="1306"/>
      <c r="D30" s="225">
        <v>150226</v>
      </c>
      <c r="E30" s="181">
        <v>122768</v>
      </c>
      <c r="F30" s="704">
        <v>140337</v>
      </c>
      <c r="G30" s="707">
        <v>86802.785</v>
      </c>
      <c r="H30" s="225">
        <f t="shared" si="2"/>
        <v>53534.215</v>
      </c>
      <c r="I30" s="241">
        <f t="shared" si="9"/>
        <v>0.35635785416638927</v>
      </c>
      <c r="J30" s="325">
        <v>4.17</v>
      </c>
      <c r="K30" s="225">
        <v>0</v>
      </c>
      <c r="L30" s="226">
        <v>0</v>
      </c>
      <c r="M30" s="691">
        <v>0</v>
      </c>
      <c r="N30" s="182">
        <v>0</v>
      </c>
      <c r="O30" s="196"/>
      <c r="P30" s="196"/>
      <c r="Q30" s="196"/>
      <c r="R30" s="196"/>
      <c r="S30" s="181">
        <f t="shared" si="3"/>
        <v>-150226</v>
      </c>
      <c r="T30" s="181">
        <f t="shared" si="4"/>
        <v>-122768</v>
      </c>
      <c r="U30" s="181">
        <f t="shared" si="5"/>
        <v>-140337</v>
      </c>
      <c r="V30" s="255">
        <f t="shared" si="6"/>
        <v>-86802.785</v>
      </c>
      <c r="W30" s="261">
        <f t="shared" si="7"/>
        <v>0</v>
      </c>
      <c r="X30" s="241"/>
      <c r="Y30" s="494"/>
      <c r="Z30" s="168"/>
      <c r="AA30" s="179"/>
      <c r="AB30" s="169"/>
      <c r="AC30" s="169"/>
      <c r="AD30" s="168"/>
      <c r="AE30" s="180"/>
      <c r="AF30" s="169"/>
    </row>
    <row r="31" spans="1:32" ht="16.5" customHeight="1">
      <c r="A31" s="1304" t="s">
        <v>625</v>
      </c>
      <c r="B31" s="1305"/>
      <c r="C31" s="1306"/>
      <c r="D31" s="225">
        <v>188991</v>
      </c>
      <c r="E31" s="181">
        <v>166520</v>
      </c>
      <c r="F31" s="704">
        <v>182510</v>
      </c>
      <c r="G31" s="707">
        <v>126448.94</v>
      </c>
      <c r="H31" s="225">
        <f t="shared" si="2"/>
        <v>56061.06</v>
      </c>
      <c r="I31" s="241">
        <f t="shared" si="9"/>
        <v>0.2966334904836738</v>
      </c>
      <c r="J31" s="325">
        <v>28.68525896414343</v>
      </c>
      <c r="K31" s="225">
        <v>206778</v>
      </c>
      <c r="L31" s="226">
        <v>180277</v>
      </c>
      <c r="M31" s="691">
        <v>201105</v>
      </c>
      <c r="N31" s="182">
        <v>131610.9</v>
      </c>
      <c r="O31" s="746">
        <f aca="true" t="shared" si="11" ref="O31:R33">K31/D31*100-100</f>
        <v>9.41155928060067</v>
      </c>
      <c r="P31" s="183">
        <f t="shared" si="11"/>
        <v>8.261470093682433</v>
      </c>
      <c r="Q31" s="183">
        <f t="shared" si="11"/>
        <v>10.18848282285903</v>
      </c>
      <c r="R31" s="183">
        <f t="shared" si="11"/>
        <v>4.082248534467752</v>
      </c>
      <c r="S31" s="181">
        <f t="shared" si="3"/>
        <v>17787</v>
      </c>
      <c r="T31" s="181">
        <f t="shared" si="4"/>
        <v>13757</v>
      </c>
      <c r="U31" s="181">
        <f t="shared" si="5"/>
        <v>18595</v>
      </c>
      <c r="V31" s="255">
        <f t="shared" si="6"/>
        <v>5161.959999999992</v>
      </c>
      <c r="W31" s="261">
        <f t="shared" si="7"/>
        <v>69494.1</v>
      </c>
      <c r="X31" s="241">
        <f>W31/K31</f>
        <v>0.33608072425499813</v>
      </c>
      <c r="Y31" s="490">
        <v>29.955947136563875</v>
      </c>
      <c r="Z31" s="168"/>
      <c r="AA31" s="179"/>
      <c r="AB31" s="169"/>
      <c r="AC31" s="169"/>
      <c r="AD31" s="168"/>
      <c r="AE31" s="180"/>
      <c r="AF31" s="169"/>
    </row>
    <row r="32" spans="1:32" ht="16.5" customHeight="1">
      <c r="A32" s="1304" t="s">
        <v>626</v>
      </c>
      <c r="B32" s="1305"/>
      <c r="C32" s="1306"/>
      <c r="D32" s="225">
        <v>176645</v>
      </c>
      <c r="E32" s="181">
        <v>140981</v>
      </c>
      <c r="F32" s="704">
        <v>166876</v>
      </c>
      <c r="G32" s="707">
        <v>106253.345</v>
      </c>
      <c r="H32" s="225">
        <f t="shared" si="2"/>
        <v>60622.655</v>
      </c>
      <c r="I32" s="241">
        <f t="shared" si="9"/>
        <v>0.3431891930142376</v>
      </c>
      <c r="J32" s="325">
        <v>11.455847255369928</v>
      </c>
      <c r="K32" s="225">
        <v>211126</v>
      </c>
      <c r="L32" s="226">
        <v>168678</v>
      </c>
      <c r="M32" s="691">
        <v>199534</v>
      </c>
      <c r="N32" s="182">
        <v>133414.2</v>
      </c>
      <c r="O32" s="746">
        <f t="shared" si="11"/>
        <v>19.519941124854938</v>
      </c>
      <c r="P32" s="183">
        <f t="shared" si="11"/>
        <v>19.64590973251714</v>
      </c>
      <c r="Q32" s="183">
        <f t="shared" si="11"/>
        <v>19.570219803926264</v>
      </c>
      <c r="R32" s="183">
        <f t="shared" si="11"/>
        <v>25.562352884043335</v>
      </c>
      <c r="S32" s="181">
        <f t="shared" si="3"/>
        <v>34481</v>
      </c>
      <c r="T32" s="181">
        <f t="shared" si="4"/>
        <v>27697</v>
      </c>
      <c r="U32" s="181">
        <f t="shared" si="5"/>
        <v>32658</v>
      </c>
      <c r="V32" s="255">
        <f t="shared" si="6"/>
        <v>27160.85500000001</v>
      </c>
      <c r="W32" s="261">
        <f t="shared" si="7"/>
        <v>66119.79999999999</v>
      </c>
      <c r="X32" s="241">
        <f>W32/K32</f>
        <v>0.3131769654140181</v>
      </c>
      <c r="Y32" s="490">
        <v>12.27154046997389</v>
      </c>
      <c r="Z32" s="168"/>
      <c r="AA32" s="179"/>
      <c r="AB32" s="169"/>
      <c r="AC32" s="169"/>
      <c r="AD32" s="168"/>
      <c r="AE32" s="180"/>
      <c r="AF32" s="169"/>
    </row>
    <row r="33" spans="1:32" ht="16.5" customHeight="1">
      <c r="A33" s="1304" t="s">
        <v>627</v>
      </c>
      <c r="B33" s="1305"/>
      <c r="C33" s="1306"/>
      <c r="D33" s="225">
        <v>267460</v>
      </c>
      <c r="E33" s="181">
        <v>197136</v>
      </c>
      <c r="F33" s="704">
        <v>240932</v>
      </c>
      <c r="G33" s="707">
        <v>193193.66</v>
      </c>
      <c r="H33" s="225">
        <f t="shared" si="2"/>
        <v>47738.34</v>
      </c>
      <c r="I33" s="241">
        <f t="shared" si="9"/>
        <v>0.17848777387272863</v>
      </c>
      <c r="J33" s="325">
        <v>12.429378531073446</v>
      </c>
      <c r="K33" s="225">
        <v>276469</v>
      </c>
      <c r="L33" s="226">
        <v>200509</v>
      </c>
      <c r="M33" s="691">
        <v>247692</v>
      </c>
      <c r="N33" s="182">
        <v>178562.28</v>
      </c>
      <c r="O33" s="746">
        <f t="shared" si="11"/>
        <v>3.3683541464144042</v>
      </c>
      <c r="P33" s="183">
        <f t="shared" si="11"/>
        <v>1.711001542082613</v>
      </c>
      <c r="Q33" s="183">
        <f t="shared" si="11"/>
        <v>2.805770922916011</v>
      </c>
      <c r="R33" s="183">
        <f t="shared" si="11"/>
        <v>-7.573426581389882</v>
      </c>
      <c r="S33" s="181">
        <f t="shared" si="3"/>
        <v>9009</v>
      </c>
      <c r="T33" s="181">
        <f t="shared" si="4"/>
        <v>3373</v>
      </c>
      <c r="U33" s="181">
        <f t="shared" si="5"/>
        <v>6760</v>
      </c>
      <c r="V33" s="255">
        <f t="shared" si="6"/>
        <v>-14631.380000000005</v>
      </c>
      <c r="W33" s="261">
        <f t="shared" si="7"/>
        <v>69129.72</v>
      </c>
      <c r="X33" s="241">
        <f>W33/K33</f>
        <v>0.2500451045144302</v>
      </c>
      <c r="Y33" s="490">
        <v>12.985074626865673</v>
      </c>
      <c r="Z33" s="168"/>
      <c r="AA33" s="179"/>
      <c r="AB33" s="169"/>
      <c r="AC33" s="169"/>
      <c r="AD33" s="168"/>
      <c r="AE33" s="180"/>
      <c r="AF33" s="169"/>
    </row>
    <row r="34" spans="1:32" ht="16.5" customHeight="1">
      <c r="A34" s="1304" t="s">
        <v>628</v>
      </c>
      <c r="B34" s="1305"/>
      <c r="C34" s="1306"/>
      <c r="D34" s="225">
        <v>188661</v>
      </c>
      <c r="E34" s="181">
        <v>147337</v>
      </c>
      <c r="F34" s="704">
        <v>176084</v>
      </c>
      <c r="G34" s="707">
        <v>130097.895</v>
      </c>
      <c r="H34" s="225">
        <f t="shared" si="2"/>
        <v>45986.104999999996</v>
      </c>
      <c r="I34" s="241">
        <f t="shared" si="9"/>
        <v>0.2437499271179523</v>
      </c>
      <c r="J34" s="325">
        <v>4.043715846994536</v>
      </c>
      <c r="K34" s="225">
        <v>0</v>
      </c>
      <c r="L34" s="226">
        <v>0</v>
      </c>
      <c r="M34" s="691">
        <v>0</v>
      </c>
      <c r="N34" s="182">
        <v>0</v>
      </c>
      <c r="O34" s="196"/>
      <c r="P34" s="196"/>
      <c r="Q34" s="196"/>
      <c r="R34" s="196"/>
      <c r="S34" s="181">
        <f t="shared" si="3"/>
        <v>-188661</v>
      </c>
      <c r="T34" s="181">
        <f t="shared" si="4"/>
        <v>-147337</v>
      </c>
      <c r="U34" s="181">
        <f t="shared" si="5"/>
        <v>-176084</v>
      </c>
      <c r="V34" s="255">
        <f t="shared" si="6"/>
        <v>-130097.895</v>
      </c>
      <c r="W34" s="261">
        <f t="shared" si="7"/>
        <v>0</v>
      </c>
      <c r="X34" s="241"/>
      <c r="Y34" s="494"/>
      <c r="Z34" s="168"/>
      <c r="AA34" s="179"/>
      <c r="AB34" s="169"/>
      <c r="AC34" s="169"/>
      <c r="AD34" s="168"/>
      <c r="AE34" s="180"/>
      <c r="AF34" s="169"/>
    </row>
    <row r="35" spans="1:32" ht="16.5" customHeight="1">
      <c r="A35" s="1304" t="s">
        <v>629</v>
      </c>
      <c r="B35" s="1305"/>
      <c r="C35" s="1306"/>
      <c r="D35" s="225">
        <v>197852</v>
      </c>
      <c r="E35" s="181">
        <v>153533</v>
      </c>
      <c r="F35" s="704">
        <v>183476</v>
      </c>
      <c r="G35" s="707">
        <v>132052.91</v>
      </c>
      <c r="H35" s="225">
        <f t="shared" si="2"/>
        <v>51423.09</v>
      </c>
      <c r="I35" s="241">
        <f t="shared" si="9"/>
        <v>0.2599068495643208</v>
      </c>
      <c r="J35" s="325">
        <f>2.98</f>
        <v>2.98</v>
      </c>
      <c r="K35" s="225">
        <v>0</v>
      </c>
      <c r="L35" s="226">
        <v>0</v>
      </c>
      <c r="M35" s="691">
        <v>0</v>
      </c>
      <c r="N35" s="182">
        <v>0</v>
      </c>
      <c r="O35" s="196"/>
      <c r="P35" s="196"/>
      <c r="Q35" s="196"/>
      <c r="R35" s="196"/>
      <c r="S35" s="181">
        <f t="shared" si="3"/>
        <v>-197852</v>
      </c>
      <c r="T35" s="181">
        <f t="shared" si="4"/>
        <v>-153533</v>
      </c>
      <c r="U35" s="181">
        <f t="shared" si="5"/>
        <v>-183476</v>
      </c>
      <c r="V35" s="255">
        <f t="shared" si="6"/>
        <v>-132052.91</v>
      </c>
      <c r="W35" s="261">
        <f t="shared" si="7"/>
        <v>0</v>
      </c>
      <c r="X35" s="241"/>
      <c r="Y35" s="494"/>
      <c r="Z35" s="168"/>
      <c r="AA35" s="179"/>
      <c r="AB35" s="169"/>
      <c r="AC35" s="169"/>
      <c r="AD35" s="168"/>
      <c r="AE35" s="180"/>
      <c r="AF35" s="169"/>
    </row>
    <row r="36" spans="1:32" ht="16.5" customHeight="1">
      <c r="A36" s="400" t="s">
        <v>630</v>
      </c>
      <c r="B36" s="184"/>
      <c r="C36" s="185"/>
      <c r="D36" s="225">
        <v>0</v>
      </c>
      <c r="E36" s="181">
        <v>0</v>
      </c>
      <c r="F36" s="704">
        <v>0</v>
      </c>
      <c r="G36" s="707">
        <v>0</v>
      </c>
      <c r="H36" s="225">
        <f t="shared" si="2"/>
        <v>0</v>
      </c>
      <c r="I36" s="241">
        <v>0</v>
      </c>
      <c r="J36" s="243"/>
      <c r="K36" s="225">
        <v>386606</v>
      </c>
      <c r="L36" s="226">
        <v>293588</v>
      </c>
      <c r="M36" s="691">
        <v>359270</v>
      </c>
      <c r="N36" s="182">
        <v>251993.44</v>
      </c>
      <c r="O36" s="196"/>
      <c r="P36" s="196"/>
      <c r="Q36" s="196"/>
      <c r="R36" s="196"/>
      <c r="S36" s="181">
        <f t="shared" si="3"/>
        <v>386606</v>
      </c>
      <c r="T36" s="181">
        <f t="shared" si="4"/>
        <v>293588</v>
      </c>
      <c r="U36" s="181">
        <f t="shared" si="5"/>
        <v>359270</v>
      </c>
      <c r="V36" s="255">
        <f t="shared" si="6"/>
        <v>251993.44</v>
      </c>
      <c r="W36" s="261">
        <f t="shared" si="7"/>
        <v>107276.56</v>
      </c>
      <c r="X36" s="241">
        <f>W36/K36</f>
        <v>0.277482915422937</v>
      </c>
      <c r="Y36" s="490">
        <v>4.25531914893617</v>
      </c>
      <c r="Z36" s="168"/>
      <c r="AA36" s="179"/>
      <c r="AB36" s="169"/>
      <c r="AC36" s="169"/>
      <c r="AD36" s="168"/>
      <c r="AE36" s="180"/>
      <c r="AF36" s="169"/>
    </row>
    <row r="37" spans="1:32" ht="16.5" customHeight="1">
      <c r="A37" s="1307" t="s">
        <v>631</v>
      </c>
      <c r="B37" s="1308"/>
      <c r="C37" s="1309"/>
      <c r="D37" s="251">
        <v>82121</v>
      </c>
      <c r="E37" s="186">
        <v>79705</v>
      </c>
      <c r="F37" s="714">
        <v>82121</v>
      </c>
      <c r="G37" s="708">
        <v>25506</v>
      </c>
      <c r="H37" s="251">
        <f t="shared" si="2"/>
        <v>56615</v>
      </c>
      <c r="I37" s="272">
        <f>H37/D37</f>
        <v>0.6894095298401139</v>
      </c>
      <c r="J37" s="676"/>
      <c r="K37" s="251">
        <v>90108</v>
      </c>
      <c r="L37" s="227">
        <v>84498</v>
      </c>
      <c r="M37" s="694">
        <v>90108</v>
      </c>
      <c r="N37" s="187">
        <v>26087.4</v>
      </c>
      <c r="O37" s="747">
        <f aca="true" t="shared" si="12" ref="O37:R38">K37/D37*100-100</f>
        <v>9.72589228090257</v>
      </c>
      <c r="P37" s="252">
        <f t="shared" si="12"/>
        <v>6.013424502854264</v>
      </c>
      <c r="Q37" s="252">
        <f t="shared" si="12"/>
        <v>9.72589228090257</v>
      </c>
      <c r="R37" s="252">
        <f t="shared" si="12"/>
        <v>2.279463655610442</v>
      </c>
      <c r="S37" s="186">
        <f t="shared" si="3"/>
        <v>7987</v>
      </c>
      <c r="T37" s="186">
        <f t="shared" si="4"/>
        <v>4793</v>
      </c>
      <c r="U37" s="186">
        <f t="shared" si="5"/>
        <v>7987</v>
      </c>
      <c r="V37" s="259">
        <f t="shared" si="6"/>
        <v>581.4000000000015</v>
      </c>
      <c r="W37" s="677">
        <f t="shared" si="7"/>
        <v>64020.6</v>
      </c>
      <c r="X37" s="272">
        <f>W37/K37</f>
        <v>0.7104874151018777</v>
      </c>
      <c r="Y37" s="493"/>
      <c r="Z37" s="168"/>
      <c r="AA37" s="179"/>
      <c r="AB37" s="169"/>
      <c r="AC37" s="169"/>
      <c r="AD37" s="168"/>
      <c r="AE37" s="180"/>
      <c r="AF37" s="169"/>
    </row>
    <row r="38" spans="1:32" s="265" customFormat="1" ht="16.5" customHeight="1" thickBot="1">
      <c r="A38" s="1322" t="s">
        <v>613</v>
      </c>
      <c r="B38" s="1323"/>
      <c r="C38" s="1324" t="s">
        <v>614</v>
      </c>
      <c r="D38" s="497">
        <f>SUM(D21:D37)</f>
        <v>3022072</v>
      </c>
      <c r="E38" s="496">
        <f>SUM(E21:E37)</f>
        <v>2400310</v>
      </c>
      <c r="F38" s="674">
        <f>SUM(F21:F37)</f>
        <v>2811983</v>
      </c>
      <c r="G38" s="713">
        <f>SUM(G21:G37)</f>
        <v>2001260.6999999997</v>
      </c>
      <c r="H38" s="497">
        <f>SUM(H21:H37)</f>
        <v>810722.2999999998</v>
      </c>
      <c r="I38" s="499">
        <f>H38/D38</f>
        <v>0.2682670366556455</v>
      </c>
      <c r="J38" s="500">
        <v>7.863197895352236</v>
      </c>
      <c r="K38" s="497">
        <f>SUM(K21:K37)</f>
        <v>3117695</v>
      </c>
      <c r="L38" s="498">
        <f>SUM(L21:L37)</f>
        <v>2436381</v>
      </c>
      <c r="M38" s="717">
        <f>SUM(M21:M37)</f>
        <v>2906645</v>
      </c>
      <c r="N38" s="496">
        <f>SUM(N21:N37)</f>
        <v>1912610.7799999998</v>
      </c>
      <c r="O38" s="769">
        <f t="shared" si="12"/>
        <v>3.1641536005760287</v>
      </c>
      <c r="P38" s="190">
        <f t="shared" si="12"/>
        <v>1.5027642262874394</v>
      </c>
      <c r="Q38" s="190">
        <f t="shared" si="12"/>
        <v>3.366378815234654</v>
      </c>
      <c r="R38" s="190">
        <f t="shared" si="12"/>
        <v>-4.429703736249863</v>
      </c>
      <c r="S38" s="191">
        <f t="shared" si="3"/>
        <v>95623</v>
      </c>
      <c r="T38" s="191">
        <f t="shared" si="4"/>
        <v>36071</v>
      </c>
      <c r="U38" s="191">
        <f t="shared" si="5"/>
        <v>94662</v>
      </c>
      <c r="V38" s="501">
        <f t="shared" si="6"/>
        <v>-88649.91999999993</v>
      </c>
      <c r="W38" s="770">
        <f t="shared" si="7"/>
        <v>994034.2200000002</v>
      </c>
      <c r="X38" s="499">
        <f>W38/K38</f>
        <v>0.31883626204615917</v>
      </c>
      <c r="Y38" s="502">
        <v>7.882299130965086</v>
      </c>
      <c r="Z38" s="198"/>
      <c r="AA38" s="192"/>
      <c r="AB38" s="263"/>
      <c r="AC38" s="263"/>
      <c r="AD38" s="192"/>
      <c r="AE38" s="264"/>
      <c r="AF38" s="263"/>
    </row>
    <row r="39" spans="1:32" ht="16.5" customHeight="1" thickBot="1" thickTop="1">
      <c r="A39" s="213"/>
      <c r="B39" s="213"/>
      <c r="C39" s="213"/>
      <c r="D39" s="213"/>
      <c r="E39" s="220"/>
      <c r="F39" s="213"/>
      <c r="G39" s="220"/>
      <c r="H39" s="220"/>
      <c r="I39" s="220"/>
      <c r="J39" s="220"/>
      <c r="K39" s="220"/>
      <c r="L39" s="220"/>
      <c r="M39" s="220"/>
      <c r="N39" s="220"/>
      <c r="O39" s="238"/>
      <c r="P39" s="238"/>
      <c r="Q39" s="238"/>
      <c r="R39" s="239"/>
      <c r="S39" s="240"/>
      <c r="T39" s="240"/>
      <c r="U39" s="240"/>
      <c r="V39" s="240"/>
      <c r="W39" s="197"/>
      <c r="X39" s="198"/>
      <c r="Y39" s="276" t="s">
        <v>664</v>
      </c>
      <c r="Z39" s="198"/>
      <c r="AA39" s="192"/>
      <c r="AB39" s="169"/>
      <c r="AC39" s="169"/>
      <c r="AD39" s="168"/>
      <c r="AE39" s="180"/>
      <c r="AF39" s="169"/>
    </row>
    <row r="40" spans="1:32" ht="4.5" customHeight="1" thickTop="1">
      <c r="A40" s="1269" t="s">
        <v>604</v>
      </c>
      <c r="B40" s="1270"/>
      <c r="C40" s="1271"/>
      <c r="D40" s="1280" t="s">
        <v>498</v>
      </c>
      <c r="E40" s="1281"/>
      <c r="F40" s="1281"/>
      <c r="G40" s="1281"/>
      <c r="H40" s="1281"/>
      <c r="I40" s="1281"/>
      <c r="J40" s="1281"/>
      <c r="K40" s="1281" t="s">
        <v>663</v>
      </c>
      <c r="L40" s="1281"/>
      <c r="M40" s="1281"/>
      <c r="N40" s="1281"/>
      <c r="O40" s="1281"/>
      <c r="P40" s="1281"/>
      <c r="Q40" s="1281"/>
      <c r="R40" s="1281"/>
      <c r="S40" s="1281"/>
      <c r="T40" s="1281"/>
      <c r="U40" s="1281"/>
      <c r="V40" s="1281"/>
      <c r="W40" s="1281"/>
      <c r="X40" s="1281"/>
      <c r="Y40" s="1284"/>
      <c r="Z40" s="168"/>
      <c r="AA40" s="179"/>
      <c r="AB40" s="169"/>
      <c r="AC40" s="169"/>
      <c r="AD40" s="168"/>
      <c r="AE40" s="180"/>
      <c r="AF40" s="169"/>
    </row>
    <row r="41" spans="1:32" ht="16.5" customHeight="1">
      <c r="A41" s="1272"/>
      <c r="B41" s="1273"/>
      <c r="C41" s="1274"/>
      <c r="D41" s="1282"/>
      <c r="E41" s="1283"/>
      <c r="F41" s="1283"/>
      <c r="G41" s="1283"/>
      <c r="H41" s="1283"/>
      <c r="I41" s="1283"/>
      <c r="J41" s="1283"/>
      <c r="K41" s="1283"/>
      <c r="L41" s="1283"/>
      <c r="M41" s="1283"/>
      <c r="N41" s="1283"/>
      <c r="O41" s="1283"/>
      <c r="P41" s="1283"/>
      <c r="Q41" s="1283"/>
      <c r="R41" s="1283"/>
      <c r="S41" s="1283"/>
      <c r="T41" s="1283"/>
      <c r="U41" s="1283"/>
      <c r="V41" s="1283"/>
      <c r="W41" s="1283"/>
      <c r="X41" s="1283"/>
      <c r="Y41" s="1285"/>
      <c r="Z41" s="168"/>
      <c r="AA41" s="179"/>
      <c r="AB41" s="169"/>
      <c r="AC41" s="169"/>
      <c r="AD41" s="168"/>
      <c r="AE41" s="180"/>
      <c r="AF41" s="169"/>
    </row>
    <row r="42" spans="1:32" ht="16.5" customHeight="1">
      <c r="A42" s="1272"/>
      <c r="B42" s="1273"/>
      <c r="C42" s="1274"/>
      <c r="D42" s="1282" t="s">
        <v>605</v>
      </c>
      <c r="E42" s="1283" t="s">
        <v>606</v>
      </c>
      <c r="F42" s="1286" t="s">
        <v>607</v>
      </c>
      <c r="G42" s="1287" t="str">
        <f>G8</f>
        <v>Kiadásból</v>
      </c>
      <c r="H42" s="1287"/>
      <c r="I42" s="1287"/>
      <c r="J42" s="1286" t="s">
        <v>351</v>
      </c>
      <c r="K42" s="1283" t="s">
        <v>605</v>
      </c>
      <c r="L42" s="1283" t="s">
        <v>606</v>
      </c>
      <c r="M42" s="1286" t="s">
        <v>607</v>
      </c>
      <c r="N42" s="1287" t="str">
        <f>G42</f>
        <v>Kiadásból</v>
      </c>
      <c r="O42" s="1287"/>
      <c r="P42" s="1287"/>
      <c r="Q42" s="1287"/>
      <c r="R42" s="1287"/>
      <c r="S42" s="1287"/>
      <c r="T42" s="1287"/>
      <c r="U42" s="1287"/>
      <c r="V42" s="1287"/>
      <c r="W42" s="1287"/>
      <c r="X42" s="1287"/>
      <c r="Y42" s="1288" t="s">
        <v>351</v>
      </c>
      <c r="Z42" s="168"/>
      <c r="AA42" s="179"/>
      <c r="AB42" s="169"/>
      <c r="AC42" s="169"/>
      <c r="AD42" s="168"/>
      <c r="AE42" s="180"/>
      <c r="AF42" s="169"/>
    </row>
    <row r="43" spans="1:32" ht="27.75" customHeight="1">
      <c r="A43" s="1272"/>
      <c r="B43" s="1273"/>
      <c r="C43" s="1274"/>
      <c r="D43" s="1282"/>
      <c r="E43" s="1283"/>
      <c r="F43" s="1286"/>
      <c r="G43" s="1289" t="s">
        <v>661</v>
      </c>
      <c r="H43" s="1291" t="s">
        <v>662</v>
      </c>
      <c r="I43" s="1292"/>
      <c r="J43" s="1286"/>
      <c r="K43" s="1283"/>
      <c r="L43" s="1283"/>
      <c r="M43" s="1286"/>
      <c r="N43" s="1289" t="s">
        <v>661</v>
      </c>
      <c r="O43" s="1291" t="s">
        <v>662</v>
      </c>
      <c r="P43" s="1292"/>
      <c r="Q43" s="277"/>
      <c r="R43" s="277"/>
      <c r="S43" s="279"/>
      <c r="T43" s="279"/>
      <c r="U43" s="277"/>
      <c r="V43" s="277"/>
      <c r="W43" s="1291" t="s">
        <v>662</v>
      </c>
      <c r="X43" s="1292"/>
      <c r="Y43" s="1288"/>
      <c r="Z43" s="168"/>
      <c r="AA43" s="179"/>
      <c r="AB43" s="169"/>
      <c r="AC43" s="169"/>
      <c r="AD43" s="168"/>
      <c r="AE43" s="180"/>
      <c r="AF43" s="169"/>
    </row>
    <row r="44" spans="1:32" ht="49.5" customHeight="1">
      <c r="A44" s="1275"/>
      <c r="B44" s="1276"/>
      <c r="C44" s="1277"/>
      <c r="D44" s="1282"/>
      <c r="E44" s="1283"/>
      <c r="F44" s="175"/>
      <c r="G44" s="1290"/>
      <c r="H44" s="175" t="s">
        <v>665</v>
      </c>
      <c r="I44" s="175" t="s">
        <v>666</v>
      </c>
      <c r="J44" s="1286"/>
      <c r="K44" s="1283"/>
      <c r="L44" s="1283"/>
      <c r="M44" s="1286"/>
      <c r="N44" s="1290"/>
      <c r="O44" s="175" t="s">
        <v>665</v>
      </c>
      <c r="P44" s="175" t="s">
        <v>666</v>
      </c>
      <c r="Q44" s="175"/>
      <c r="R44" s="175"/>
      <c r="S44" s="174"/>
      <c r="T44" s="174"/>
      <c r="U44" s="175"/>
      <c r="V44" s="176"/>
      <c r="W44" s="175" t="s">
        <v>665</v>
      </c>
      <c r="X44" s="175" t="s">
        <v>666</v>
      </c>
      <c r="Y44" s="1288"/>
      <c r="Z44" s="168"/>
      <c r="AA44" s="179"/>
      <c r="AB44" s="169"/>
      <c r="AC44" s="169"/>
      <c r="AD44" s="168"/>
      <c r="AE44" s="180"/>
      <c r="AF44" s="169"/>
    </row>
    <row r="45" spans="1:32" ht="14.25" customHeight="1">
      <c r="A45" s="503"/>
      <c r="B45" s="280"/>
      <c r="C45" s="280"/>
      <c r="D45" s="719"/>
      <c r="E45" s="720"/>
      <c r="F45" s="281"/>
      <c r="G45" s="771"/>
      <c r="H45" s="275"/>
      <c r="I45" s="278"/>
      <c r="J45" s="284"/>
      <c r="K45" s="719"/>
      <c r="L45" s="720"/>
      <c r="M45" s="281"/>
      <c r="N45" s="716"/>
      <c r="O45" s="282"/>
      <c r="P45" s="282"/>
      <c r="Q45" s="283"/>
      <c r="R45" s="284"/>
      <c r="S45" s="285"/>
      <c r="T45" s="285"/>
      <c r="U45" s="286"/>
      <c r="V45" s="284"/>
      <c r="W45" s="275"/>
      <c r="X45" s="278"/>
      <c r="Y45" s="772"/>
      <c r="Z45" s="168"/>
      <c r="AA45" s="179"/>
      <c r="AB45" s="169"/>
      <c r="AC45" s="169"/>
      <c r="AD45" s="168"/>
      <c r="AE45" s="180"/>
      <c r="AF45" s="169"/>
    </row>
    <row r="46" spans="1:32" ht="16.5" customHeight="1">
      <c r="A46" s="1304" t="s">
        <v>632</v>
      </c>
      <c r="B46" s="1305"/>
      <c r="C46" s="1306"/>
      <c r="D46" s="267">
        <v>207718</v>
      </c>
      <c r="E46" s="718">
        <v>176478</v>
      </c>
      <c r="F46" s="691">
        <v>197510</v>
      </c>
      <c r="G46" s="704">
        <v>159569.74</v>
      </c>
      <c r="H46" s="225">
        <f aca="true" t="shared" si="13" ref="H46:H59">F46-G46</f>
        <v>37940.26000000001</v>
      </c>
      <c r="I46" s="241">
        <f aca="true" t="shared" si="14" ref="I46:I57">H46/D46</f>
        <v>0.1826527311065965</v>
      </c>
      <c r="J46" s="773">
        <v>30.071174377224196</v>
      </c>
      <c r="K46" s="225">
        <v>233528</v>
      </c>
      <c r="L46" s="226">
        <v>198839</v>
      </c>
      <c r="M46" s="691">
        <v>222167</v>
      </c>
      <c r="N46" s="182">
        <v>154157.56</v>
      </c>
      <c r="O46" s="746">
        <f aca="true" t="shared" si="15" ref="O46:R49">K46/D46*100-100</f>
        <v>12.425499956672041</v>
      </c>
      <c r="P46" s="183">
        <f t="shared" si="15"/>
        <v>12.670701163884445</v>
      </c>
      <c r="Q46" s="183">
        <f t="shared" si="15"/>
        <v>12.483924864563818</v>
      </c>
      <c r="R46" s="183">
        <f t="shared" si="15"/>
        <v>-3.391733294796367</v>
      </c>
      <c r="S46" s="181">
        <f aca="true" t="shared" si="16" ref="S46:S60">K46-D46</f>
        <v>25810</v>
      </c>
      <c r="T46" s="181">
        <f aca="true" t="shared" si="17" ref="T46:T60">L46-E46</f>
        <v>22361</v>
      </c>
      <c r="U46" s="181">
        <f aca="true" t="shared" si="18" ref="U46:U60">M46-F46</f>
        <v>24657</v>
      </c>
      <c r="V46" s="255">
        <f aca="true" t="shared" si="19" ref="V46:V60">N46-G46</f>
        <v>-5412.179999999993</v>
      </c>
      <c r="W46" s="261">
        <f aca="true" t="shared" si="20" ref="W46:W60">M46-N46</f>
        <v>68009.44</v>
      </c>
      <c r="X46" s="241">
        <f>W46/K46</f>
        <v>0.29122606282758384</v>
      </c>
      <c r="Y46" s="490">
        <v>26.846846846846844</v>
      </c>
      <c r="Z46" s="168"/>
      <c r="AA46" s="179"/>
      <c r="AB46" s="169"/>
      <c r="AC46" s="169"/>
      <c r="AD46" s="168"/>
      <c r="AE46" s="180"/>
      <c r="AF46" s="169"/>
    </row>
    <row r="47" spans="1:32" ht="16.5" customHeight="1">
      <c r="A47" s="1304" t="s">
        <v>633</v>
      </c>
      <c r="B47" s="1305"/>
      <c r="C47" s="1306"/>
      <c r="D47" s="267">
        <v>273023</v>
      </c>
      <c r="E47" s="718">
        <v>219658</v>
      </c>
      <c r="F47" s="691">
        <v>264181</v>
      </c>
      <c r="G47" s="704">
        <v>195462.7</v>
      </c>
      <c r="H47" s="225">
        <f t="shared" si="13"/>
        <v>68718.29999999999</v>
      </c>
      <c r="I47" s="241">
        <f t="shared" si="14"/>
        <v>0.2516941796112415</v>
      </c>
      <c r="J47" s="773">
        <v>43.87947269303202</v>
      </c>
      <c r="K47" s="225">
        <v>281458</v>
      </c>
      <c r="L47" s="226">
        <v>225783</v>
      </c>
      <c r="M47" s="691">
        <v>271602</v>
      </c>
      <c r="N47" s="182">
        <v>192397.14</v>
      </c>
      <c r="O47" s="746">
        <f t="shared" si="15"/>
        <v>3.089483303604453</v>
      </c>
      <c r="P47" s="183">
        <f t="shared" si="15"/>
        <v>2.7884256435003465</v>
      </c>
      <c r="Q47" s="183">
        <f t="shared" si="15"/>
        <v>2.80905894065053</v>
      </c>
      <c r="R47" s="183">
        <f t="shared" si="15"/>
        <v>-1.5683606130479149</v>
      </c>
      <c r="S47" s="181">
        <f t="shared" si="16"/>
        <v>8435</v>
      </c>
      <c r="T47" s="181">
        <f t="shared" si="17"/>
        <v>6125</v>
      </c>
      <c r="U47" s="181">
        <f t="shared" si="18"/>
        <v>7421</v>
      </c>
      <c r="V47" s="255">
        <f t="shared" si="19"/>
        <v>-3065.5599999999977</v>
      </c>
      <c r="W47" s="261">
        <f t="shared" si="20"/>
        <v>79204.85999999999</v>
      </c>
      <c r="X47" s="241">
        <f>W47/K47</f>
        <v>0.28140916229064367</v>
      </c>
      <c r="Y47" s="490">
        <v>45.47</v>
      </c>
      <c r="Z47" s="168"/>
      <c r="AA47" s="179"/>
      <c r="AB47" s="169"/>
      <c r="AC47" s="169"/>
      <c r="AD47" s="168"/>
      <c r="AE47" s="180"/>
      <c r="AF47" s="169"/>
    </row>
    <row r="48" spans="1:32" ht="16.5" customHeight="1">
      <c r="A48" s="1304" t="s">
        <v>634</v>
      </c>
      <c r="B48" s="1305"/>
      <c r="C48" s="1306"/>
      <c r="D48" s="267">
        <v>261546</v>
      </c>
      <c r="E48" s="718">
        <v>212538</v>
      </c>
      <c r="F48" s="691">
        <v>228768</v>
      </c>
      <c r="G48" s="704">
        <v>238462.67</v>
      </c>
      <c r="H48" s="225">
        <f t="shared" si="13"/>
        <v>-9694.670000000013</v>
      </c>
      <c r="I48" s="241">
        <f t="shared" si="14"/>
        <v>-0.037066787486713666</v>
      </c>
      <c r="J48" s="773">
        <v>53.7463976945245</v>
      </c>
      <c r="K48" s="225">
        <v>277289</v>
      </c>
      <c r="L48" s="226">
        <v>222941</v>
      </c>
      <c r="M48" s="691">
        <v>245278</v>
      </c>
      <c r="N48" s="182">
        <v>198173.22</v>
      </c>
      <c r="O48" s="746">
        <f t="shared" si="15"/>
        <v>6.019208858097613</v>
      </c>
      <c r="P48" s="183">
        <f t="shared" si="15"/>
        <v>4.894654132437509</v>
      </c>
      <c r="Q48" s="183">
        <f t="shared" si="15"/>
        <v>7.21691845013288</v>
      </c>
      <c r="R48" s="183">
        <f t="shared" si="15"/>
        <v>-16.895495634599754</v>
      </c>
      <c r="S48" s="181">
        <f t="shared" si="16"/>
        <v>15743</v>
      </c>
      <c r="T48" s="181">
        <f t="shared" si="17"/>
        <v>10403</v>
      </c>
      <c r="U48" s="181">
        <f t="shared" si="18"/>
        <v>16510</v>
      </c>
      <c r="V48" s="255">
        <f t="shared" si="19"/>
        <v>-40289.45000000001</v>
      </c>
      <c r="W48" s="261">
        <f t="shared" si="20"/>
        <v>47104.78</v>
      </c>
      <c r="X48" s="241">
        <f>W48/K48</f>
        <v>0.16987612202431399</v>
      </c>
      <c r="Y48" s="490">
        <v>52.56975036710719</v>
      </c>
      <c r="Z48" s="168"/>
      <c r="AA48" s="179"/>
      <c r="AB48" s="169"/>
      <c r="AC48" s="169"/>
      <c r="AD48" s="168"/>
      <c r="AE48" s="180"/>
      <c r="AF48" s="169"/>
    </row>
    <row r="49" spans="1:32" ht="16.5" customHeight="1">
      <c r="A49" s="1304" t="s">
        <v>635</v>
      </c>
      <c r="B49" s="1305"/>
      <c r="C49" s="1306"/>
      <c r="D49" s="267">
        <v>289182</v>
      </c>
      <c r="E49" s="718">
        <v>229394</v>
      </c>
      <c r="F49" s="691">
        <v>276236</v>
      </c>
      <c r="G49" s="704">
        <v>217507.555</v>
      </c>
      <c r="H49" s="225">
        <f t="shared" si="13"/>
        <v>58728.44500000001</v>
      </c>
      <c r="I49" s="241">
        <f t="shared" si="14"/>
        <v>0.2030847182743048</v>
      </c>
      <c r="J49" s="773">
        <v>44.50084602368866</v>
      </c>
      <c r="K49" s="225">
        <v>301059</v>
      </c>
      <c r="L49" s="226">
        <v>239053</v>
      </c>
      <c r="M49" s="691">
        <v>287627</v>
      </c>
      <c r="N49" s="182">
        <v>207688.6</v>
      </c>
      <c r="O49" s="746">
        <f t="shared" si="15"/>
        <v>4.107102101790574</v>
      </c>
      <c r="P49" s="183">
        <f t="shared" si="15"/>
        <v>4.210659389521965</v>
      </c>
      <c r="Q49" s="183">
        <f t="shared" si="15"/>
        <v>4.123647895277955</v>
      </c>
      <c r="R49" s="183">
        <f t="shared" si="15"/>
        <v>-4.514305261718377</v>
      </c>
      <c r="S49" s="181">
        <f t="shared" si="16"/>
        <v>11877</v>
      </c>
      <c r="T49" s="181">
        <f t="shared" si="17"/>
        <v>9659</v>
      </c>
      <c r="U49" s="181">
        <f t="shared" si="18"/>
        <v>11391</v>
      </c>
      <c r="V49" s="255">
        <f t="shared" si="19"/>
        <v>-9818.954999999987</v>
      </c>
      <c r="W49" s="261">
        <f t="shared" si="20"/>
        <v>79938.4</v>
      </c>
      <c r="X49" s="241">
        <f>W49/K49</f>
        <v>0.2655240334950956</v>
      </c>
      <c r="Y49" s="490">
        <v>46.73913043478261</v>
      </c>
      <c r="Z49" s="168"/>
      <c r="AA49" s="179"/>
      <c r="AB49" s="169"/>
      <c r="AC49" s="169"/>
      <c r="AD49" s="168"/>
      <c r="AE49" s="180"/>
      <c r="AF49" s="169"/>
    </row>
    <row r="50" spans="1:32" ht="16.5" customHeight="1">
      <c r="A50" s="1304" t="s">
        <v>636</v>
      </c>
      <c r="B50" s="1305"/>
      <c r="C50" s="1306"/>
      <c r="D50" s="267">
        <v>146417</v>
      </c>
      <c r="E50" s="718">
        <v>125922</v>
      </c>
      <c r="F50" s="691">
        <v>135107</v>
      </c>
      <c r="G50" s="704">
        <v>95062.01</v>
      </c>
      <c r="H50" s="225">
        <f t="shared" si="13"/>
        <v>40044.990000000005</v>
      </c>
      <c r="I50" s="241">
        <f t="shared" si="14"/>
        <v>0.2734995936264232</v>
      </c>
      <c r="J50" s="773">
        <v>4.56</v>
      </c>
      <c r="K50" s="225">
        <v>0</v>
      </c>
      <c r="L50" s="226">
        <v>0</v>
      </c>
      <c r="M50" s="691">
        <v>0</v>
      </c>
      <c r="N50" s="182">
        <v>0</v>
      </c>
      <c r="O50" s="196"/>
      <c r="P50" s="196"/>
      <c r="Q50" s="196"/>
      <c r="R50" s="196"/>
      <c r="S50" s="181">
        <f t="shared" si="16"/>
        <v>-146417</v>
      </c>
      <c r="T50" s="181">
        <f t="shared" si="17"/>
        <v>-125922</v>
      </c>
      <c r="U50" s="181">
        <f t="shared" si="18"/>
        <v>-135107</v>
      </c>
      <c r="V50" s="255">
        <f t="shared" si="19"/>
        <v>-95062.01</v>
      </c>
      <c r="W50" s="261">
        <f t="shared" si="20"/>
        <v>0</v>
      </c>
      <c r="X50" s="241"/>
      <c r="Y50" s="494"/>
      <c r="Z50" s="168"/>
      <c r="AA50" s="179"/>
      <c r="AB50" s="169"/>
      <c r="AC50" s="169"/>
      <c r="AD50" s="168"/>
      <c r="AE50" s="180"/>
      <c r="AF50" s="169"/>
    </row>
    <row r="51" spans="1:32" ht="16.5" customHeight="1">
      <c r="A51" s="1304" t="s">
        <v>637</v>
      </c>
      <c r="B51" s="1305"/>
      <c r="C51" s="1306"/>
      <c r="D51" s="267">
        <v>234483</v>
      </c>
      <c r="E51" s="718">
        <v>210342</v>
      </c>
      <c r="F51" s="691">
        <v>228876</v>
      </c>
      <c r="G51" s="704">
        <v>216672.62</v>
      </c>
      <c r="H51" s="225">
        <f t="shared" si="13"/>
        <v>12203.380000000005</v>
      </c>
      <c r="I51" s="241">
        <f t="shared" si="14"/>
        <v>0.052043772896116156</v>
      </c>
      <c r="J51" s="773">
        <v>57.04960835509139</v>
      </c>
      <c r="K51" s="225">
        <v>251011</v>
      </c>
      <c r="L51" s="226">
        <v>220936</v>
      </c>
      <c r="M51" s="691">
        <v>244360</v>
      </c>
      <c r="N51" s="182">
        <v>205486.1</v>
      </c>
      <c r="O51" s="746">
        <f aca="true" t="shared" si="21" ref="O51:R56">K51/D51*100-100</f>
        <v>7.048698626339657</v>
      </c>
      <c r="P51" s="183">
        <f t="shared" si="21"/>
        <v>5.03655950784912</v>
      </c>
      <c r="Q51" s="183">
        <f t="shared" si="21"/>
        <v>6.7652353239308525</v>
      </c>
      <c r="R51" s="183">
        <f t="shared" si="21"/>
        <v>-5.162867371059605</v>
      </c>
      <c r="S51" s="181">
        <f t="shared" si="16"/>
        <v>16528</v>
      </c>
      <c r="T51" s="181">
        <f t="shared" si="17"/>
        <v>10594</v>
      </c>
      <c r="U51" s="181">
        <f t="shared" si="18"/>
        <v>15484</v>
      </c>
      <c r="V51" s="255">
        <f t="shared" si="19"/>
        <v>-11186.51999999999</v>
      </c>
      <c r="W51" s="261">
        <f t="shared" si="20"/>
        <v>38873.899999999994</v>
      </c>
      <c r="X51" s="241">
        <f aca="true" t="shared" si="22" ref="X51:X56">W51/K51</f>
        <v>0.15486930851635983</v>
      </c>
      <c r="Y51" s="490">
        <v>55.878467635402906</v>
      </c>
      <c r="Z51" s="168"/>
      <c r="AA51" s="179"/>
      <c r="AB51" s="169"/>
      <c r="AC51" s="169"/>
      <c r="AD51" s="168"/>
      <c r="AE51" s="180"/>
      <c r="AF51" s="169"/>
    </row>
    <row r="52" spans="1:32" ht="16.5" customHeight="1">
      <c r="A52" s="1304" t="s">
        <v>638</v>
      </c>
      <c r="B52" s="1305"/>
      <c r="C52" s="1306"/>
      <c r="D52" s="267">
        <v>495006</v>
      </c>
      <c r="E52" s="718">
        <v>410469</v>
      </c>
      <c r="F52" s="691">
        <v>457916</v>
      </c>
      <c r="G52" s="704">
        <v>359654.5</v>
      </c>
      <c r="H52" s="225">
        <f t="shared" si="13"/>
        <v>98261.5</v>
      </c>
      <c r="I52" s="241">
        <f t="shared" si="14"/>
        <v>0.19850567467869076</v>
      </c>
      <c r="J52" s="773">
        <v>60.48951048951049</v>
      </c>
      <c r="K52" s="225">
        <v>504244</v>
      </c>
      <c r="L52" s="226">
        <v>417131</v>
      </c>
      <c r="M52" s="691">
        <v>467078</v>
      </c>
      <c r="N52" s="182">
        <v>341693.22</v>
      </c>
      <c r="O52" s="746">
        <f t="shared" si="21"/>
        <v>1.8662400051716617</v>
      </c>
      <c r="P52" s="183">
        <f t="shared" si="21"/>
        <v>1.6230214705617243</v>
      </c>
      <c r="Q52" s="183">
        <f t="shared" si="21"/>
        <v>2.0008036408424346</v>
      </c>
      <c r="R52" s="183">
        <f t="shared" si="21"/>
        <v>-4.994037333051594</v>
      </c>
      <c r="S52" s="181">
        <f t="shared" si="16"/>
        <v>9238</v>
      </c>
      <c r="T52" s="181">
        <f t="shared" si="17"/>
        <v>6662</v>
      </c>
      <c r="U52" s="181">
        <f t="shared" si="18"/>
        <v>9162</v>
      </c>
      <c r="V52" s="255">
        <f t="shared" si="19"/>
        <v>-17961.280000000028</v>
      </c>
      <c r="W52" s="261">
        <f t="shared" si="20"/>
        <v>125384.78000000003</v>
      </c>
      <c r="X52" s="241">
        <f t="shared" si="22"/>
        <v>0.24865894289272658</v>
      </c>
      <c r="Y52" s="490">
        <v>65.35</v>
      </c>
      <c r="Z52" s="168"/>
      <c r="AA52" s="179"/>
      <c r="AB52" s="169"/>
      <c r="AC52" s="169"/>
      <c r="AD52" s="168"/>
      <c r="AE52" s="180"/>
      <c r="AF52" s="169"/>
    </row>
    <row r="53" spans="1:32" ht="16.5" customHeight="1">
      <c r="A53" s="1304" t="s">
        <v>639</v>
      </c>
      <c r="B53" s="1305"/>
      <c r="C53" s="1306"/>
      <c r="D53" s="267">
        <v>258112</v>
      </c>
      <c r="E53" s="718">
        <v>217719</v>
      </c>
      <c r="F53" s="691">
        <v>239403</v>
      </c>
      <c r="G53" s="704">
        <v>174098.53</v>
      </c>
      <c r="H53" s="225">
        <f t="shared" si="13"/>
        <v>65304.47</v>
      </c>
      <c r="I53" s="241">
        <f t="shared" si="14"/>
        <v>0.2530082677287379</v>
      </c>
      <c r="J53" s="773">
        <v>53.70370370370371</v>
      </c>
      <c r="K53" s="225">
        <v>270348</v>
      </c>
      <c r="L53" s="226">
        <v>228834</v>
      </c>
      <c r="M53" s="691">
        <v>253410</v>
      </c>
      <c r="N53" s="182">
        <v>170378.74</v>
      </c>
      <c r="O53" s="746">
        <f t="shared" si="21"/>
        <v>4.740577733697009</v>
      </c>
      <c r="P53" s="183">
        <f t="shared" si="21"/>
        <v>5.105204414865042</v>
      </c>
      <c r="Q53" s="183">
        <f t="shared" si="21"/>
        <v>5.85080387463816</v>
      </c>
      <c r="R53" s="183">
        <f t="shared" si="21"/>
        <v>-2.1366004641164977</v>
      </c>
      <c r="S53" s="181">
        <f t="shared" si="16"/>
        <v>12236</v>
      </c>
      <c r="T53" s="181">
        <f t="shared" si="17"/>
        <v>11115</v>
      </c>
      <c r="U53" s="181">
        <f t="shared" si="18"/>
        <v>14007</v>
      </c>
      <c r="V53" s="255">
        <f t="shared" si="19"/>
        <v>-3719.790000000008</v>
      </c>
      <c r="W53" s="261">
        <f t="shared" si="20"/>
        <v>83031.26000000001</v>
      </c>
      <c r="X53" s="241">
        <f t="shared" si="22"/>
        <v>0.3071273321792653</v>
      </c>
      <c r="Y53" s="490">
        <v>50.252100840336134</v>
      </c>
      <c r="Z53" s="168"/>
      <c r="AA53" s="179"/>
      <c r="AB53" s="169"/>
      <c r="AC53" s="169"/>
      <c r="AD53" s="168"/>
      <c r="AE53" s="180"/>
      <c r="AF53" s="169"/>
    </row>
    <row r="54" spans="1:32" ht="16.5" customHeight="1">
      <c r="A54" s="1304" t="s">
        <v>640</v>
      </c>
      <c r="B54" s="1305"/>
      <c r="C54" s="1306"/>
      <c r="D54" s="267">
        <v>426693</v>
      </c>
      <c r="E54" s="718">
        <v>373747</v>
      </c>
      <c r="F54" s="691">
        <v>417628</v>
      </c>
      <c r="G54" s="704">
        <v>329225.795</v>
      </c>
      <c r="H54" s="225">
        <f t="shared" si="13"/>
        <v>88402.20500000002</v>
      </c>
      <c r="I54" s="241">
        <f t="shared" si="14"/>
        <v>0.20717988108546428</v>
      </c>
      <c r="J54" s="773">
        <v>62.1384750219106</v>
      </c>
      <c r="K54" s="225">
        <v>467534</v>
      </c>
      <c r="L54" s="226">
        <v>412421</v>
      </c>
      <c r="M54" s="691">
        <v>459859</v>
      </c>
      <c r="N54" s="182">
        <v>321825.06</v>
      </c>
      <c r="O54" s="746">
        <f t="shared" si="21"/>
        <v>9.571518632834383</v>
      </c>
      <c r="P54" s="183">
        <f t="shared" si="21"/>
        <v>10.347641586420764</v>
      </c>
      <c r="Q54" s="183">
        <f t="shared" si="21"/>
        <v>10.112109341327695</v>
      </c>
      <c r="R54" s="183">
        <f t="shared" si="21"/>
        <v>-2.2479207621018844</v>
      </c>
      <c r="S54" s="181">
        <f t="shared" si="16"/>
        <v>40841</v>
      </c>
      <c r="T54" s="181">
        <f t="shared" si="17"/>
        <v>38674</v>
      </c>
      <c r="U54" s="181">
        <f t="shared" si="18"/>
        <v>42231</v>
      </c>
      <c r="V54" s="255">
        <f t="shared" si="19"/>
        <v>-7400.734999999986</v>
      </c>
      <c r="W54" s="261">
        <f t="shared" si="20"/>
        <v>138033.94</v>
      </c>
      <c r="X54" s="241">
        <f t="shared" si="22"/>
        <v>0.29523829283004016</v>
      </c>
      <c r="Y54" s="490">
        <v>60.61</v>
      </c>
      <c r="Z54" s="168"/>
      <c r="AA54" s="179"/>
      <c r="AB54" s="169"/>
      <c r="AC54" s="169"/>
      <c r="AD54" s="168"/>
      <c r="AE54" s="180"/>
      <c r="AF54" s="169"/>
    </row>
    <row r="55" spans="1:32" ht="16.5" customHeight="1">
      <c r="A55" s="1304" t="s">
        <v>641</v>
      </c>
      <c r="B55" s="1305"/>
      <c r="C55" s="1306"/>
      <c r="D55" s="267">
        <v>298512</v>
      </c>
      <c r="E55" s="718">
        <v>261595</v>
      </c>
      <c r="F55" s="691">
        <v>292032</v>
      </c>
      <c r="G55" s="704">
        <v>251359.71</v>
      </c>
      <c r="H55" s="225">
        <f t="shared" si="13"/>
        <v>40672.29000000001</v>
      </c>
      <c r="I55" s="241">
        <f t="shared" si="14"/>
        <v>0.13625010049847244</v>
      </c>
      <c r="J55" s="773">
        <v>50.40556199304751</v>
      </c>
      <c r="K55" s="225">
        <v>300324</v>
      </c>
      <c r="L55" s="226">
        <v>266531</v>
      </c>
      <c r="M55" s="691">
        <v>296879</v>
      </c>
      <c r="N55" s="182">
        <v>244348.18</v>
      </c>
      <c r="O55" s="746">
        <f t="shared" si="21"/>
        <v>0.6070107734362296</v>
      </c>
      <c r="P55" s="183">
        <f t="shared" si="21"/>
        <v>1.886886217244225</v>
      </c>
      <c r="Q55" s="183">
        <f t="shared" si="21"/>
        <v>1.6597496164803829</v>
      </c>
      <c r="R55" s="183">
        <f t="shared" si="21"/>
        <v>-2.789440678460366</v>
      </c>
      <c r="S55" s="181">
        <f t="shared" si="16"/>
        <v>1812</v>
      </c>
      <c r="T55" s="181">
        <f t="shared" si="17"/>
        <v>4936</v>
      </c>
      <c r="U55" s="181">
        <f t="shared" si="18"/>
        <v>4847</v>
      </c>
      <c r="V55" s="255">
        <f t="shared" si="19"/>
        <v>-7011.529999999999</v>
      </c>
      <c r="W55" s="261">
        <f t="shared" si="20"/>
        <v>52530.82000000001</v>
      </c>
      <c r="X55" s="241">
        <f t="shared" si="22"/>
        <v>0.17491382640082048</v>
      </c>
      <c r="Y55" s="490">
        <v>51.71</v>
      </c>
      <c r="Z55" s="168"/>
      <c r="AA55" s="179"/>
      <c r="AB55" s="169"/>
      <c r="AC55" s="169"/>
      <c r="AD55" s="168"/>
      <c r="AE55" s="180"/>
      <c r="AF55" s="169"/>
    </row>
    <row r="56" spans="1:32" ht="16.5" customHeight="1">
      <c r="A56" s="1304" t="s">
        <v>642</v>
      </c>
      <c r="B56" s="1305"/>
      <c r="C56" s="1306"/>
      <c r="D56" s="267">
        <v>217073</v>
      </c>
      <c r="E56" s="718">
        <v>194432</v>
      </c>
      <c r="F56" s="691">
        <v>207349</v>
      </c>
      <c r="G56" s="704">
        <v>199094.69</v>
      </c>
      <c r="H56" s="225">
        <f t="shared" si="13"/>
        <v>8254.309999999998</v>
      </c>
      <c r="I56" s="241">
        <f t="shared" si="14"/>
        <v>0.038025502941406795</v>
      </c>
      <c r="J56" s="773">
        <v>60.78984485190409</v>
      </c>
      <c r="K56" s="225">
        <v>231569</v>
      </c>
      <c r="L56" s="226">
        <v>208255</v>
      </c>
      <c r="M56" s="691">
        <v>222032</v>
      </c>
      <c r="N56" s="182">
        <v>198950.24</v>
      </c>
      <c r="O56" s="746">
        <f t="shared" si="21"/>
        <v>6.677937836580327</v>
      </c>
      <c r="P56" s="183">
        <f t="shared" si="21"/>
        <v>7.109426431863071</v>
      </c>
      <c r="Q56" s="183">
        <f t="shared" si="21"/>
        <v>7.081297715445942</v>
      </c>
      <c r="R56" s="183">
        <f t="shared" si="21"/>
        <v>-0.07255341666822801</v>
      </c>
      <c r="S56" s="181">
        <f t="shared" si="16"/>
        <v>14496</v>
      </c>
      <c r="T56" s="181">
        <f t="shared" si="17"/>
        <v>13823</v>
      </c>
      <c r="U56" s="181">
        <f t="shared" si="18"/>
        <v>14683</v>
      </c>
      <c r="V56" s="255">
        <f t="shared" si="19"/>
        <v>-144.45000000001164</v>
      </c>
      <c r="W56" s="261">
        <f t="shared" si="20"/>
        <v>23081.76000000001</v>
      </c>
      <c r="X56" s="241">
        <f t="shared" si="22"/>
        <v>0.09967551788019989</v>
      </c>
      <c r="Y56" s="490">
        <v>60.36036036036037</v>
      </c>
      <c r="Z56" s="168"/>
      <c r="AA56" s="179"/>
      <c r="AB56" s="169"/>
      <c r="AC56" s="169"/>
      <c r="AD56" s="168"/>
      <c r="AE56" s="180"/>
      <c r="AF56" s="169"/>
    </row>
    <row r="57" spans="1:32" ht="16.5" customHeight="1">
      <c r="A57" s="1304" t="s">
        <v>643</v>
      </c>
      <c r="B57" s="1305"/>
      <c r="C57" s="1306"/>
      <c r="D57" s="267">
        <v>107522</v>
      </c>
      <c r="E57" s="718">
        <v>83440</v>
      </c>
      <c r="F57" s="691">
        <v>102363</v>
      </c>
      <c r="G57" s="704">
        <v>54331.13</v>
      </c>
      <c r="H57" s="225">
        <f t="shared" si="13"/>
        <v>48031.87</v>
      </c>
      <c r="I57" s="241">
        <f t="shared" si="14"/>
        <v>0.44671667193690595</v>
      </c>
      <c r="J57" s="773">
        <v>24.596774193548388</v>
      </c>
      <c r="K57" s="225">
        <v>0</v>
      </c>
      <c r="L57" s="226">
        <v>0</v>
      </c>
      <c r="M57" s="691">
        <v>0</v>
      </c>
      <c r="N57" s="182">
        <v>0</v>
      </c>
      <c r="O57" s="196"/>
      <c r="P57" s="196"/>
      <c r="Q57" s="196"/>
      <c r="R57" s="196"/>
      <c r="S57" s="181">
        <f t="shared" si="16"/>
        <v>-107522</v>
      </c>
      <c r="T57" s="181">
        <f t="shared" si="17"/>
        <v>-83440</v>
      </c>
      <c r="U57" s="181">
        <f t="shared" si="18"/>
        <v>-102363</v>
      </c>
      <c r="V57" s="255">
        <f t="shared" si="19"/>
        <v>-54331.13</v>
      </c>
      <c r="W57" s="261">
        <f t="shared" si="20"/>
        <v>0</v>
      </c>
      <c r="X57" s="241"/>
      <c r="Y57" s="494"/>
      <c r="Z57" s="168"/>
      <c r="AA57" s="168"/>
      <c r="AB57" s="169"/>
      <c r="AC57" s="169"/>
      <c r="AD57" s="168"/>
      <c r="AE57" s="180"/>
      <c r="AF57" s="169"/>
    </row>
    <row r="58" spans="1:32" ht="33.75" customHeight="1">
      <c r="A58" s="1319" t="s">
        <v>644</v>
      </c>
      <c r="B58" s="1320"/>
      <c r="C58" s="1321"/>
      <c r="D58" s="267">
        <v>0</v>
      </c>
      <c r="E58" s="718">
        <v>0</v>
      </c>
      <c r="F58" s="691">
        <v>0</v>
      </c>
      <c r="G58" s="704">
        <v>0</v>
      </c>
      <c r="H58" s="225">
        <f t="shared" si="13"/>
        <v>0</v>
      </c>
      <c r="I58" s="241">
        <v>0</v>
      </c>
      <c r="J58" s="773">
        <f>56.17</f>
        <v>56.17</v>
      </c>
      <c r="K58" s="225">
        <v>163432</v>
      </c>
      <c r="L58" s="226">
        <v>145600</v>
      </c>
      <c r="M58" s="691">
        <v>158451</v>
      </c>
      <c r="N58" s="182">
        <v>108718.84</v>
      </c>
      <c r="O58" s="196"/>
      <c r="P58" s="196"/>
      <c r="Q58" s="196"/>
      <c r="R58" s="196"/>
      <c r="S58" s="181">
        <f t="shared" si="16"/>
        <v>163432</v>
      </c>
      <c r="T58" s="181">
        <f t="shared" si="17"/>
        <v>145600</v>
      </c>
      <c r="U58" s="181">
        <f t="shared" si="18"/>
        <v>158451</v>
      </c>
      <c r="V58" s="255">
        <f t="shared" si="19"/>
        <v>108718.84</v>
      </c>
      <c r="W58" s="261">
        <f t="shared" si="20"/>
        <v>49732.16</v>
      </c>
      <c r="X58" s="241">
        <f>W58/K58</f>
        <v>0.30429879093445594</v>
      </c>
      <c r="Y58" s="490">
        <v>70.59</v>
      </c>
      <c r="Z58" s="168"/>
      <c r="AA58" s="168"/>
      <c r="AB58" s="169"/>
      <c r="AC58" s="169"/>
      <c r="AD58" s="168"/>
      <c r="AE58" s="180"/>
      <c r="AF58" s="169"/>
    </row>
    <row r="59" spans="1:32" ht="16.5" customHeight="1">
      <c r="A59" s="1307" t="s">
        <v>645</v>
      </c>
      <c r="B59" s="1308"/>
      <c r="C59" s="1309"/>
      <c r="D59" s="268">
        <v>501177</v>
      </c>
      <c r="E59" s="721">
        <v>323908</v>
      </c>
      <c r="F59" s="694">
        <v>457553</v>
      </c>
      <c r="G59" s="714">
        <v>399385.175</v>
      </c>
      <c r="H59" s="251">
        <f t="shared" si="13"/>
        <v>58167.82500000001</v>
      </c>
      <c r="I59" s="272">
        <f>H59/D59</f>
        <v>0.11606243901855036</v>
      </c>
      <c r="J59" s="774">
        <f>100</f>
        <v>100</v>
      </c>
      <c r="K59" s="251">
        <v>524864</v>
      </c>
      <c r="L59" s="227">
        <v>329693</v>
      </c>
      <c r="M59" s="694">
        <v>475429</v>
      </c>
      <c r="N59" s="187">
        <v>367381.6</v>
      </c>
      <c r="O59" s="747">
        <f aca="true" t="shared" si="23" ref="O59:R60">K59/D59*100-100</f>
        <v>4.726274350179665</v>
      </c>
      <c r="P59" s="252">
        <f t="shared" si="23"/>
        <v>1.7860009632364608</v>
      </c>
      <c r="Q59" s="252">
        <f t="shared" si="23"/>
        <v>3.9068698052466146</v>
      </c>
      <c r="R59" s="252">
        <f t="shared" si="23"/>
        <v>-8.01321055544939</v>
      </c>
      <c r="S59" s="186">
        <f t="shared" si="16"/>
        <v>23687</v>
      </c>
      <c r="T59" s="186">
        <f t="shared" si="17"/>
        <v>5785</v>
      </c>
      <c r="U59" s="186">
        <f t="shared" si="18"/>
        <v>17876</v>
      </c>
      <c r="V59" s="259">
        <f t="shared" si="19"/>
        <v>-32003.57500000001</v>
      </c>
      <c r="W59" s="677">
        <f t="shared" si="20"/>
        <v>108047.40000000002</v>
      </c>
      <c r="X59" s="272">
        <f>W59/K59</f>
        <v>0.20585789842702115</v>
      </c>
      <c r="Y59" s="775">
        <v>100</v>
      </c>
      <c r="Z59" s="168"/>
      <c r="AA59" s="179"/>
      <c r="AB59" s="169"/>
      <c r="AC59" s="169"/>
      <c r="AD59" s="168"/>
      <c r="AE59" s="180"/>
      <c r="AF59" s="169"/>
    </row>
    <row r="60" spans="1:32" s="265" customFormat="1" ht="16.5" customHeight="1">
      <c r="A60" s="1313" t="s">
        <v>613</v>
      </c>
      <c r="B60" s="1314"/>
      <c r="C60" s="1315" t="s">
        <v>614</v>
      </c>
      <c r="D60" s="215">
        <f>SUM(D46:D59)</f>
        <v>3716464</v>
      </c>
      <c r="E60" s="229">
        <f>SUM(E46:E59)</f>
        <v>3039642</v>
      </c>
      <c r="F60" s="689">
        <f>SUM(F46:F59)</f>
        <v>3504922</v>
      </c>
      <c r="G60" s="673">
        <f>SUM(G46:G59)</f>
        <v>2889886.8249999997</v>
      </c>
      <c r="H60" s="215">
        <f>SUM(H46:H59)</f>
        <v>615035.175</v>
      </c>
      <c r="I60" s="262">
        <f>H60/D60</f>
        <v>0.16548934013621552</v>
      </c>
      <c r="J60" s="776">
        <v>52.55641973734541</v>
      </c>
      <c r="K60" s="215">
        <f>SUM(K46:K59)</f>
        <v>3806660</v>
      </c>
      <c r="L60" s="229">
        <f>SUM(L46:L59)</f>
        <v>3116017</v>
      </c>
      <c r="M60" s="689">
        <f>SUM(M46:M59)</f>
        <v>3604172</v>
      </c>
      <c r="N60" s="216">
        <f>SUM(N46:N59)</f>
        <v>2711198.4999999995</v>
      </c>
      <c r="O60" s="749">
        <f t="shared" si="23"/>
        <v>2.4269305447328406</v>
      </c>
      <c r="P60" s="234">
        <f t="shared" si="23"/>
        <v>2.5126314217266383</v>
      </c>
      <c r="Q60" s="234">
        <f t="shared" si="23"/>
        <v>2.8317320613697063</v>
      </c>
      <c r="R60" s="234">
        <f t="shared" si="23"/>
        <v>-6.183229165038327</v>
      </c>
      <c r="S60" s="235">
        <f t="shared" si="16"/>
        <v>90196</v>
      </c>
      <c r="T60" s="235">
        <f t="shared" si="17"/>
        <v>76375</v>
      </c>
      <c r="U60" s="235">
        <f t="shared" si="18"/>
        <v>99250</v>
      </c>
      <c r="V60" s="257">
        <f t="shared" si="19"/>
        <v>-178688.3250000002</v>
      </c>
      <c r="W60" s="266">
        <f t="shared" si="20"/>
        <v>892973.5000000005</v>
      </c>
      <c r="X60" s="262">
        <f>W60/K60</f>
        <v>0.23458189068632357</v>
      </c>
      <c r="Y60" s="685">
        <v>54.13</v>
      </c>
      <c r="Z60" s="198"/>
      <c r="AA60" s="198"/>
      <c r="AB60" s="263"/>
      <c r="AC60" s="263"/>
      <c r="AD60" s="192"/>
      <c r="AE60" s="264"/>
      <c r="AF60" s="263"/>
    </row>
    <row r="61" spans="1:32" ht="16.5" customHeight="1">
      <c r="A61" s="504"/>
      <c r="B61" s="249"/>
      <c r="C61" s="271"/>
      <c r="D61" s="245"/>
      <c r="E61" s="247"/>
      <c r="F61" s="248"/>
      <c r="G61" s="710"/>
      <c r="H61" s="245"/>
      <c r="I61" s="247"/>
      <c r="J61" s="168"/>
      <c r="K61" s="245"/>
      <c r="L61" s="247"/>
      <c r="M61" s="248"/>
      <c r="N61" s="246"/>
      <c r="O61" s="269"/>
      <c r="P61" s="269"/>
      <c r="Q61" s="269"/>
      <c r="R61" s="269"/>
      <c r="S61" s="270"/>
      <c r="T61" s="270"/>
      <c r="U61" s="270"/>
      <c r="V61" s="273"/>
      <c r="W61" s="274"/>
      <c r="X61" s="247"/>
      <c r="Y61" s="777"/>
      <c r="Z61" s="168"/>
      <c r="AA61" s="168"/>
      <c r="AB61" s="169"/>
      <c r="AC61" s="169"/>
      <c r="AD61" s="168"/>
      <c r="AE61" s="180"/>
      <c r="AF61" s="169"/>
    </row>
    <row r="62" spans="1:31" s="263" customFormat="1" ht="16.5" customHeight="1">
      <c r="A62" s="1313" t="s">
        <v>646</v>
      </c>
      <c r="B62" s="1314"/>
      <c r="C62" s="1315"/>
      <c r="D62" s="215">
        <f>D60+D38+D18</f>
        <v>7939340</v>
      </c>
      <c r="E62" s="229">
        <f>E60+E38+E18</f>
        <v>6406416</v>
      </c>
      <c r="F62" s="689">
        <f>F60+F38+F18</f>
        <v>7437690</v>
      </c>
      <c r="G62" s="673">
        <f>G60+G38+G18</f>
        <v>5452746.324999999</v>
      </c>
      <c r="H62" s="266">
        <f>F62-G62</f>
        <v>1984943.6750000007</v>
      </c>
      <c r="I62" s="262">
        <f>H62/D62</f>
        <v>0.2500136881655151</v>
      </c>
      <c r="J62" s="327">
        <v>27.67200093447027</v>
      </c>
      <c r="K62" s="215">
        <f>K60+K38+K18</f>
        <v>8186980</v>
      </c>
      <c r="L62" s="229">
        <f>L60+L38+L18</f>
        <v>6560489</v>
      </c>
      <c r="M62" s="689">
        <f>M60+M38+M18</f>
        <v>7690193</v>
      </c>
      <c r="N62" s="216">
        <f>N60+N38+N18</f>
        <v>5167642.399999999</v>
      </c>
      <c r="O62" s="749">
        <f>K62/D62*100-100</f>
        <v>3.1191509621706643</v>
      </c>
      <c r="P62" s="234">
        <f>L62/E62*100-100</f>
        <v>2.4049796329179856</v>
      </c>
      <c r="Q62" s="234">
        <f>M62/F62*100-100</f>
        <v>3.394911592174438</v>
      </c>
      <c r="R62" s="234">
        <f>N62/G62*100-100</f>
        <v>-5.228629905133161</v>
      </c>
      <c r="S62" s="235">
        <f>K62-D62</f>
        <v>247640</v>
      </c>
      <c r="T62" s="235">
        <f>L62-E62</f>
        <v>154073</v>
      </c>
      <c r="U62" s="235">
        <f>M62-F62</f>
        <v>252503</v>
      </c>
      <c r="V62" s="257">
        <f>N62-G62</f>
        <v>-285103.9249999998</v>
      </c>
      <c r="W62" s="266">
        <f>M62-N62</f>
        <v>2522550.6000000006</v>
      </c>
      <c r="X62" s="262">
        <f>W62/K62</f>
        <v>0.30811735218603203</v>
      </c>
      <c r="Y62" s="685">
        <v>28.7</v>
      </c>
      <c r="Z62" s="198"/>
      <c r="AA62" s="198"/>
      <c r="AD62" s="192"/>
      <c r="AE62" s="264"/>
    </row>
    <row r="63" spans="1:32" ht="16.5" customHeight="1">
      <c r="A63" s="722"/>
      <c r="B63" s="778"/>
      <c r="C63" s="779"/>
      <c r="D63" s="228"/>
      <c r="E63" s="695"/>
      <c r="F63" s="690"/>
      <c r="G63" s="703"/>
      <c r="H63" s="228"/>
      <c r="I63" s="695"/>
      <c r="J63" s="780"/>
      <c r="K63" s="228"/>
      <c r="L63" s="695"/>
      <c r="M63" s="690"/>
      <c r="N63" s="195"/>
      <c r="O63" s="250"/>
      <c r="P63" s="250"/>
      <c r="Q63" s="250"/>
      <c r="R63" s="250"/>
      <c r="S63" s="194"/>
      <c r="T63" s="194"/>
      <c r="U63" s="194"/>
      <c r="V63" s="258"/>
      <c r="W63" s="781"/>
      <c r="X63" s="695"/>
      <c r="Y63" s="492"/>
      <c r="Z63" s="168"/>
      <c r="AA63" s="168"/>
      <c r="AB63" s="169"/>
      <c r="AC63" s="169"/>
      <c r="AD63" s="168"/>
      <c r="AE63" s="180"/>
      <c r="AF63" s="169"/>
    </row>
    <row r="64" spans="1:32" ht="16.5" customHeight="1">
      <c r="A64" s="1304" t="s">
        <v>647</v>
      </c>
      <c r="B64" s="1305"/>
      <c r="C64" s="1306"/>
      <c r="D64" s="267">
        <v>553788</v>
      </c>
      <c r="E64" s="718">
        <v>367307</v>
      </c>
      <c r="F64" s="691">
        <v>424953</v>
      </c>
      <c r="G64" s="704">
        <v>211523.2</v>
      </c>
      <c r="H64" s="225">
        <f>F64-G64</f>
        <v>213429.8</v>
      </c>
      <c r="I64" s="241">
        <f aca="true" t="shared" si="24" ref="I64:I84">H64/D64</f>
        <v>0.38539982809306084</v>
      </c>
      <c r="J64" s="773">
        <v>34.83870967741935</v>
      </c>
      <c r="K64" s="225">
        <v>571012</v>
      </c>
      <c r="L64" s="226">
        <v>368229</v>
      </c>
      <c r="M64" s="691">
        <v>418336</v>
      </c>
      <c r="N64" s="182">
        <v>189327</v>
      </c>
      <c r="O64" s="746">
        <f aca="true" t="shared" si="25" ref="O64:R68">K64/D64*100-100</f>
        <v>3.110215461512354</v>
      </c>
      <c r="P64" s="183">
        <f t="shared" si="25"/>
        <v>0.2510161799257844</v>
      </c>
      <c r="Q64" s="183">
        <f t="shared" si="25"/>
        <v>-1.557113374890875</v>
      </c>
      <c r="R64" s="183">
        <f t="shared" si="25"/>
        <v>-10.493506149680044</v>
      </c>
      <c r="S64" s="181">
        <f aca="true" t="shared" si="26" ref="S64:S75">K64-D64</f>
        <v>17224</v>
      </c>
      <c r="T64" s="181">
        <f aca="true" t="shared" si="27" ref="T64:T75">L64-E64</f>
        <v>922</v>
      </c>
      <c r="U64" s="181">
        <f aca="true" t="shared" si="28" ref="U64:U75">M64-F64</f>
        <v>-6617</v>
      </c>
      <c r="V64" s="255">
        <f aca="true" t="shared" si="29" ref="V64:V75">N64-G64</f>
        <v>-22196.20000000001</v>
      </c>
      <c r="W64" s="261">
        <f>M64-N64</f>
        <v>229009</v>
      </c>
      <c r="X64" s="241">
        <f aca="true" t="shared" si="30" ref="X64:X84">W64/K64</f>
        <v>0.4010581213704791</v>
      </c>
      <c r="Y64" s="490">
        <v>34.22818791946309</v>
      </c>
      <c r="Z64" s="168"/>
      <c r="AA64" s="179"/>
      <c r="AB64" s="169"/>
      <c r="AC64" s="169"/>
      <c r="AD64" s="168"/>
      <c r="AE64" s="180"/>
      <c r="AF64" s="169"/>
    </row>
    <row r="65" spans="1:32" ht="16.5" customHeight="1">
      <c r="A65" s="1304" t="s">
        <v>648</v>
      </c>
      <c r="B65" s="1305"/>
      <c r="C65" s="1306"/>
      <c r="D65" s="267">
        <v>448631</v>
      </c>
      <c r="E65" s="718">
        <v>357058</v>
      </c>
      <c r="F65" s="691">
        <v>415992</v>
      </c>
      <c r="G65" s="704">
        <v>180394.6</v>
      </c>
      <c r="H65" s="225">
        <f>F65-G65</f>
        <v>235597.4</v>
      </c>
      <c r="I65" s="241">
        <f t="shared" si="24"/>
        <v>0.5251473928462367</v>
      </c>
      <c r="J65" s="782"/>
      <c r="K65" s="225">
        <v>502944</v>
      </c>
      <c r="L65" s="226">
        <v>384872</v>
      </c>
      <c r="M65" s="691">
        <v>470410</v>
      </c>
      <c r="N65" s="182">
        <v>174571.6</v>
      </c>
      <c r="O65" s="746">
        <f t="shared" si="25"/>
        <v>12.106385871685205</v>
      </c>
      <c r="P65" s="183">
        <f t="shared" si="25"/>
        <v>7.789770849553861</v>
      </c>
      <c r="Q65" s="183">
        <f t="shared" si="25"/>
        <v>13.081501567337824</v>
      </c>
      <c r="R65" s="183">
        <f t="shared" si="25"/>
        <v>-3.2279236739902473</v>
      </c>
      <c r="S65" s="181">
        <f t="shared" si="26"/>
        <v>54313</v>
      </c>
      <c r="T65" s="181">
        <f t="shared" si="27"/>
        <v>27814</v>
      </c>
      <c r="U65" s="181">
        <f t="shared" si="28"/>
        <v>54418</v>
      </c>
      <c r="V65" s="255">
        <f t="shared" si="29"/>
        <v>-5823</v>
      </c>
      <c r="W65" s="261">
        <f>M65-N65</f>
        <v>295838.4</v>
      </c>
      <c r="X65" s="241">
        <f t="shared" si="30"/>
        <v>0.5882133995037221</v>
      </c>
      <c r="Y65" s="494"/>
      <c r="Z65" s="168"/>
      <c r="AA65" s="179"/>
      <c r="AB65" s="169"/>
      <c r="AC65" s="169"/>
      <c r="AD65" s="168"/>
      <c r="AE65" s="180"/>
      <c r="AF65" s="169"/>
    </row>
    <row r="66" spans="1:32" ht="16.5" customHeight="1">
      <c r="A66" s="1304" t="s">
        <v>649</v>
      </c>
      <c r="B66" s="1305"/>
      <c r="C66" s="1306"/>
      <c r="D66" s="267">
        <v>107469</v>
      </c>
      <c r="E66" s="718">
        <v>83160</v>
      </c>
      <c r="F66" s="691">
        <v>84773</v>
      </c>
      <c r="G66" s="704">
        <v>46315.9</v>
      </c>
      <c r="H66" s="225">
        <f>F66-G66</f>
        <v>38457.1</v>
      </c>
      <c r="I66" s="241">
        <f t="shared" si="24"/>
        <v>0.35784365724069267</v>
      </c>
      <c r="J66" s="783"/>
      <c r="K66" s="225">
        <v>110093</v>
      </c>
      <c r="L66" s="226">
        <v>87242</v>
      </c>
      <c r="M66" s="691">
        <v>87266</v>
      </c>
      <c r="N66" s="182">
        <v>44913.1</v>
      </c>
      <c r="O66" s="746">
        <f t="shared" si="25"/>
        <v>2.4416343317607954</v>
      </c>
      <c r="P66" s="183">
        <f t="shared" si="25"/>
        <v>4.908609908609904</v>
      </c>
      <c r="Q66" s="183">
        <f t="shared" si="25"/>
        <v>2.94079482854211</v>
      </c>
      <c r="R66" s="183">
        <f t="shared" si="25"/>
        <v>-3.028765499536874</v>
      </c>
      <c r="S66" s="181">
        <f t="shared" si="26"/>
        <v>2624</v>
      </c>
      <c r="T66" s="181">
        <f t="shared" si="27"/>
        <v>4082</v>
      </c>
      <c r="U66" s="181">
        <f t="shared" si="28"/>
        <v>2493</v>
      </c>
      <c r="V66" s="255">
        <f t="shared" si="29"/>
        <v>-1402.800000000003</v>
      </c>
      <c r="W66" s="261">
        <f>M66-N66</f>
        <v>42352.9</v>
      </c>
      <c r="X66" s="241">
        <f t="shared" si="30"/>
        <v>0.3847011163289219</v>
      </c>
      <c r="Y66" s="494">
        <v>8.89</v>
      </c>
      <c r="Z66" s="168"/>
      <c r="AA66" s="179"/>
      <c r="AB66" s="169"/>
      <c r="AC66" s="169"/>
      <c r="AD66" s="168"/>
      <c r="AE66" s="180"/>
      <c r="AF66" s="169"/>
    </row>
    <row r="67" spans="1:32" ht="16.5" customHeight="1">
      <c r="A67" s="1307" t="s">
        <v>650</v>
      </c>
      <c r="B67" s="1308"/>
      <c r="C67" s="1309"/>
      <c r="D67" s="268">
        <v>154504</v>
      </c>
      <c r="E67" s="721">
        <v>134480</v>
      </c>
      <c r="F67" s="694">
        <v>152354</v>
      </c>
      <c r="G67" s="714">
        <v>40064</v>
      </c>
      <c r="H67" s="251">
        <f>F67-G67</f>
        <v>112290</v>
      </c>
      <c r="I67" s="272">
        <f t="shared" si="24"/>
        <v>0.7267773002640708</v>
      </c>
      <c r="J67" s="784"/>
      <c r="K67" s="251">
        <v>318664</v>
      </c>
      <c r="L67" s="227">
        <v>134780</v>
      </c>
      <c r="M67" s="694">
        <v>149374</v>
      </c>
      <c r="N67" s="187">
        <v>57548</v>
      </c>
      <c r="O67" s="747">
        <f t="shared" si="25"/>
        <v>106.24967638378294</v>
      </c>
      <c r="P67" s="252">
        <f t="shared" si="25"/>
        <v>0.22308149910767838</v>
      </c>
      <c r="Q67" s="252">
        <f t="shared" si="25"/>
        <v>-1.9559709623639776</v>
      </c>
      <c r="R67" s="252">
        <f t="shared" si="25"/>
        <v>43.64017571884983</v>
      </c>
      <c r="S67" s="186">
        <f t="shared" si="26"/>
        <v>164160</v>
      </c>
      <c r="T67" s="186">
        <f t="shared" si="27"/>
        <v>300</v>
      </c>
      <c r="U67" s="186">
        <f t="shared" si="28"/>
        <v>-2980</v>
      </c>
      <c r="V67" s="259">
        <f t="shared" si="29"/>
        <v>17484</v>
      </c>
      <c r="W67" s="677">
        <f>M67-N67</f>
        <v>91826</v>
      </c>
      <c r="X67" s="272">
        <f t="shared" si="30"/>
        <v>0.28815931514071247</v>
      </c>
      <c r="Y67" s="493"/>
      <c r="Z67" s="168"/>
      <c r="AA67" s="179"/>
      <c r="AB67" s="169"/>
      <c r="AC67" s="169"/>
      <c r="AD67" s="168"/>
      <c r="AE67" s="180"/>
      <c r="AF67" s="169"/>
    </row>
    <row r="68" spans="1:32" s="265" customFormat="1" ht="16.5" customHeight="1">
      <c r="A68" s="1313" t="s">
        <v>651</v>
      </c>
      <c r="B68" s="1314"/>
      <c r="C68" s="1315"/>
      <c r="D68" s="215">
        <f>SUM(D64:D67)</f>
        <v>1264392</v>
      </c>
      <c r="E68" s="229">
        <f>SUM(E64:E67)</f>
        <v>942005</v>
      </c>
      <c r="F68" s="689">
        <f>SUM(F64:F67)</f>
        <v>1078072</v>
      </c>
      <c r="G68" s="673">
        <f>SUM(G64:G67)</f>
        <v>478297.70000000007</v>
      </c>
      <c r="H68" s="215">
        <f>SUM(H64:H67)</f>
        <v>599774.2999999999</v>
      </c>
      <c r="I68" s="262">
        <f t="shared" si="24"/>
        <v>0.47435787319122547</v>
      </c>
      <c r="J68" s="776">
        <v>34.83870967741935</v>
      </c>
      <c r="K68" s="215">
        <f>SUM(K64:K67)</f>
        <v>1502713</v>
      </c>
      <c r="L68" s="229">
        <f>SUM(L64:L67)</f>
        <v>975123</v>
      </c>
      <c r="M68" s="689">
        <f>SUM(M64:M67)</f>
        <v>1125386</v>
      </c>
      <c r="N68" s="216">
        <f>SUM(N64:N67)</f>
        <v>466359.69999999995</v>
      </c>
      <c r="O68" s="749">
        <f t="shared" si="25"/>
        <v>18.848664021917244</v>
      </c>
      <c r="P68" s="234">
        <f t="shared" si="25"/>
        <v>3.5156925918652178</v>
      </c>
      <c r="Q68" s="234">
        <f t="shared" si="25"/>
        <v>4.388760676466873</v>
      </c>
      <c r="R68" s="234">
        <f t="shared" si="25"/>
        <v>-2.4959350630371233</v>
      </c>
      <c r="S68" s="235">
        <f t="shared" si="26"/>
        <v>238321</v>
      </c>
      <c r="T68" s="235">
        <f t="shared" si="27"/>
        <v>33118</v>
      </c>
      <c r="U68" s="235">
        <f t="shared" si="28"/>
        <v>47314</v>
      </c>
      <c r="V68" s="257">
        <f t="shared" si="29"/>
        <v>-11938.000000000116</v>
      </c>
      <c r="W68" s="266">
        <f>M68-N68</f>
        <v>659026.3</v>
      </c>
      <c r="X68" s="262">
        <f t="shared" si="30"/>
        <v>0.4385576620419202</v>
      </c>
      <c r="Y68" s="685">
        <v>28.35</v>
      </c>
      <c r="Z68" s="198"/>
      <c r="AA68" s="198"/>
      <c r="AB68" s="263"/>
      <c r="AC68" s="263"/>
      <c r="AD68" s="192"/>
      <c r="AE68" s="264"/>
      <c r="AF68" s="263"/>
    </row>
    <row r="69" spans="1:32" ht="16.5" customHeight="1" hidden="1" thickTop="1">
      <c r="A69" s="1316" t="s">
        <v>652</v>
      </c>
      <c r="B69" s="1317"/>
      <c r="C69" s="1318"/>
      <c r="D69" s="228">
        <v>401875</v>
      </c>
      <c r="E69" s="695">
        <v>290359</v>
      </c>
      <c r="F69" s="690">
        <v>93014</v>
      </c>
      <c r="G69" s="703">
        <v>0</v>
      </c>
      <c r="H69" s="228"/>
      <c r="I69" s="741">
        <f t="shared" si="24"/>
        <v>0</v>
      </c>
      <c r="J69" s="780"/>
      <c r="K69" s="228">
        <v>409523</v>
      </c>
      <c r="L69" s="695">
        <v>274941</v>
      </c>
      <c r="M69" s="690">
        <v>92361</v>
      </c>
      <c r="N69" s="195">
        <v>0</v>
      </c>
      <c r="O69" s="743">
        <f aca="true" t="shared" si="31" ref="O69:Q73">K69/D69*100-100</f>
        <v>1.9030793157076147</v>
      </c>
      <c r="P69" s="250">
        <f t="shared" si="31"/>
        <v>-5.3099783371619225</v>
      </c>
      <c r="Q69" s="250">
        <f t="shared" si="31"/>
        <v>-0.7020448534629224</v>
      </c>
      <c r="R69" s="250"/>
      <c r="S69" s="194">
        <f t="shared" si="26"/>
        <v>7648</v>
      </c>
      <c r="T69" s="194">
        <f t="shared" si="27"/>
        <v>-15418</v>
      </c>
      <c r="U69" s="194">
        <f t="shared" si="28"/>
        <v>-653</v>
      </c>
      <c r="V69" s="258">
        <f t="shared" si="29"/>
        <v>0</v>
      </c>
      <c r="W69" s="781"/>
      <c r="X69" s="741">
        <f t="shared" si="30"/>
        <v>0</v>
      </c>
      <c r="Y69" s="492"/>
      <c r="Z69" s="168"/>
      <c r="AA69" s="179"/>
      <c r="AB69" s="169"/>
      <c r="AC69" s="169"/>
      <c r="AD69" s="168"/>
      <c r="AE69" s="180"/>
      <c r="AF69" s="169"/>
    </row>
    <row r="70" spans="1:32" ht="16.5" customHeight="1" hidden="1">
      <c r="A70" s="1304" t="s">
        <v>653</v>
      </c>
      <c r="B70" s="1305"/>
      <c r="C70" s="1306"/>
      <c r="D70" s="225">
        <v>738625</v>
      </c>
      <c r="E70" s="718">
        <v>84428</v>
      </c>
      <c r="F70" s="691">
        <v>511316</v>
      </c>
      <c r="G70" s="704">
        <v>247500</v>
      </c>
      <c r="H70" s="225"/>
      <c r="I70" s="241">
        <f t="shared" si="24"/>
        <v>0</v>
      </c>
      <c r="J70" s="785"/>
      <c r="K70" s="225">
        <v>776038</v>
      </c>
      <c r="L70" s="226">
        <v>86954</v>
      </c>
      <c r="M70" s="691">
        <v>590288</v>
      </c>
      <c r="N70" s="786">
        <v>317600</v>
      </c>
      <c r="O70" s="746">
        <f t="shared" si="31"/>
        <v>5.065222541885262</v>
      </c>
      <c r="P70" s="183">
        <f t="shared" si="31"/>
        <v>2.99189842232434</v>
      </c>
      <c r="Q70" s="183">
        <f t="shared" si="31"/>
        <v>15.444852107111842</v>
      </c>
      <c r="R70" s="183"/>
      <c r="S70" s="181">
        <f t="shared" si="26"/>
        <v>37413</v>
      </c>
      <c r="T70" s="181">
        <f t="shared" si="27"/>
        <v>2526</v>
      </c>
      <c r="U70" s="181">
        <f t="shared" si="28"/>
        <v>78972</v>
      </c>
      <c r="V70" s="255">
        <f t="shared" si="29"/>
        <v>70100</v>
      </c>
      <c r="W70" s="787"/>
      <c r="X70" s="241">
        <f t="shared" si="30"/>
        <v>0</v>
      </c>
      <c r="Y70" s="494"/>
      <c r="Z70" s="168"/>
      <c r="AA70" s="179"/>
      <c r="AB70" s="169"/>
      <c r="AC70" s="169"/>
      <c r="AD70" s="168"/>
      <c r="AE70" s="180"/>
      <c r="AF70" s="169"/>
    </row>
    <row r="71" spans="1:32" ht="16.5" customHeight="1" hidden="1">
      <c r="A71" s="1304" t="s">
        <v>654</v>
      </c>
      <c r="B71" s="1305"/>
      <c r="C71" s="1306"/>
      <c r="D71" s="225">
        <v>103960</v>
      </c>
      <c r="E71" s="718">
        <v>84787</v>
      </c>
      <c r="F71" s="691">
        <v>100460</v>
      </c>
      <c r="G71" s="704">
        <v>0</v>
      </c>
      <c r="H71" s="225"/>
      <c r="I71" s="241">
        <f t="shared" si="24"/>
        <v>0</v>
      </c>
      <c r="J71" s="785"/>
      <c r="K71" s="225">
        <v>109767</v>
      </c>
      <c r="L71" s="226">
        <v>87292</v>
      </c>
      <c r="M71" s="691">
        <v>106267</v>
      </c>
      <c r="N71" s="182">
        <v>0</v>
      </c>
      <c r="O71" s="746">
        <f t="shared" si="31"/>
        <v>5.5858022316275395</v>
      </c>
      <c r="P71" s="183">
        <f t="shared" si="31"/>
        <v>2.954462358616297</v>
      </c>
      <c r="Q71" s="183">
        <f t="shared" si="31"/>
        <v>5.780410113478013</v>
      </c>
      <c r="R71" s="183"/>
      <c r="S71" s="181">
        <f t="shared" si="26"/>
        <v>5807</v>
      </c>
      <c r="T71" s="181">
        <f t="shared" si="27"/>
        <v>2505</v>
      </c>
      <c r="U71" s="181">
        <f t="shared" si="28"/>
        <v>5807</v>
      </c>
      <c r="V71" s="255">
        <f t="shared" si="29"/>
        <v>0</v>
      </c>
      <c r="W71" s="787"/>
      <c r="X71" s="241">
        <f t="shared" si="30"/>
        <v>0</v>
      </c>
      <c r="Y71" s="494"/>
      <c r="Z71" s="168"/>
      <c r="AA71" s="179"/>
      <c r="AB71" s="169"/>
      <c r="AC71" s="169"/>
      <c r="AD71" s="168"/>
      <c r="AE71" s="180"/>
      <c r="AF71" s="169"/>
    </row>
    <row r="72" spans="1:32" ht="16.5" customHeight="1" hidden="1">
      <c r="A72" s="1304" t="s">
        <v>655</v>
      </c>
      <c r="B72" s="1305"/>
      <c r="C72" s="1306"/>
      <c r="D72" s="225">
        <v>596401</v>
      </c>
      <c r="E72" s="226">
        <v>275369</v>
      </c>
      <c r="F72" s="691">
        <v>564404</v>
      </c>
      <c r="G72" s="704">
        <v>0</v>
      </c>
      <c r="H72" s="225"/>
      <c r="I72" s="241">
        <f t="shared" si="24"/>
        <v>0</v>
      </c>
      <c r="J72" s="785"/>
      <c r="K72" s="225">
        <v>648417</v>
      </c>
      <c r="L72" s="226">
        <v>308927</v>
      </c>
      <c r="M72" s="691">
        <v>616087</v>
      </c>
      <c r="N72" s="182">
        <v>0</v>
      </c>
      <c r="O72" s="746">
        <f t="shared" si="31"/>
        <v>8.721648689388516</v>
      </c>
      <c r="P72" s="183">
        <f t="shared" si="31"/>
        <v>12.18655694722355</v>
      </c>
      <c r="Q72" s="183">
        <f t="shared" si="31"/>
        <v>9.157093146044318</v>
      </c>
      <c r="R72" s="183"/>
      <c r="S72" s="181">
        <f t="shared" si="26"/>
        <v>52016</v>
      </c>
      <c r="T72" s="181">
        <f t="shared" si="27"/>
        <v>33558</v>
      </c>
      <c r="U72" s="181">
        <f t="shared" si="28"/>
        <v>51683</v>
      </c>
      <c r="V72" s="255">
        <f t="shared" si="29"/>
        <v>0</v>
      </c>
      <c r="W72" s="787"/>
      <c r="X72" s="241">
        <f t="shared" si="30"/>
        <v>0</v>
      </c>
      <c r="Y72" s="494"/>
      <c r="Z72" s="168"/>
      <c r="AA72" s="179"/>
      <c r="AB72" s="169"/>
      <c r="AC72" s="169"/>
      <c r="AD72" s="168"/>
      <c r="AE72" s="180"/>
      <c r="AF72" s="169"/>
    </row>
    <row r="73" spans="1:32" ht="16.5" customHeight="1" hidden="1">
      <c r="A73" s="1304" t="s">
        <v>656</v>
      </c>
      <c r="B73" s="1305"/>
      <c r="C73" s="1306"/>
      <c r="D73" s="225">
        <v>492406</v>
      </c>
      <c r="E73" s="226">
        <v>444398</v>
      </c>
      <c r="F73" s="691">
        <v>483915</v>
      </c>
      <c r="G73" s="704">
        <v>481207.786</v>
      </c>
      <c r="H73" s="225"/>
      <c r="I73" s="241">
        <f t="shared" si="24"/>
        <v>0</v>
      </c>
      <c r="J73" s="785"/>
      <c r="K73" s="225">
        <v>533829</v>
      </c>
      <c r="L73" s="226">
        <v>481034</v>
      </c>
      <c r="M73" s="691">
        <v>523630</v>
      </c>
      <c r="N73" s="786">
        <v>519138</v>
      </c>
      <c r="O73" s="746">
        <f t="shared" si="31"/>
        <v>8.412367030458597</v>
      </c>
      <c r="P73" s="183">
        <f t="shared" si="31"/>
        <v>8.24396149397613</v>
      </c>
      <c r="Q73" s="183">
        <f t="shared" si="31"/>
        <v>8.20701982786234</v>
      </c>
      <c r="R73" s="183"/>
      <c r="S73" s="181">
        <f t="shared" si="26"/>
        <v>41423</v>
      </c>
      <c r="T73" s="181">
        <f t="shared" si="27"/>
        <v>36636</v>
      </c>
      <c r="U73" s="181">
        <f t="shared" si="28"/>
        <v>39715</v>
      </c>
      <c r="V73" s="255">
        <f t="shared" si="29"/>
        <v>37930.21399999998</v>
      </c>
      <c r="W73" s="787"/>
      <c r="X73" s="241">
        <f t="shared" si="30"/>
        <v>0</v>
      </c>
      <c r="Y73" s="494"/>
      <c r="Z73" s="168"/>
      <c r="AA73" s="179"/>
      <c r="AB73" s="169"/>
      <c r="AC73" s="169"/>
      <c r="AD73" s="168"/>
      <c r="AE73" s="180"/>
      <c r="AF73" s="169"/>
    </row>
    <row r="74" spans="1:32" ht="16.5" customHeight="1" hidden="1">
      <c r="A74" s="1304" t="s">
        <v>657</v>
      </c>
      <c r="B74" s="1305"/>
      <c r="C74" s="1306"/>
      <c r="D74" s="225">
        <v>98700</v>
      </c>
      <c r="E74" s="226">
        <v>47960</v>
      </c>
      <c r="F74" s="691">
        <v>0</v>
      </c>
      <c r="G74" s="704">
        <v>0</v>
      </c>
      <c r="H74" s="225"/>
      <c r="I74" s="241">
        <f t="shared" si="24"/>
        <v>0</v>
      </c>
      <c r="J74" s="785"/>
      <c r="K74" s="225">
        <v>92865</v>
      </c>
      <c r="L74" s="226">
        <v>48765</v>
      </c>
      <c r="M74" s="691">
        <v>20000</v>
      </c>
      <c r="N74" s="182">
        <v>0</v>
      </c>
      <c r="O74" s="746">
        <f>K74/D74*100-100</f>
        <v>-5.911854103343458</v>
      </c>
      <c r="P74" s="183">
        <f>L74/E74*100-100</f>
        <v>1.6784820683903234</v>
      </c>
      <c r="Q74" s="196"/>
      <c r="R74" s="196"/>
      <c r="S74" s="181">
        <f t="shared" si="26"/>
        <v>-5835</v>
      </c>
      <c r="T74" s="181">
        <f t="shared" si="27"/>
        <v>805</v>
      </c>
      <c r="U74" s="181">
        <f t="shared" si="28"/>
        <v>20000</v>
      </c>
      <c r="V74" s="255">
        <f t="shared" si="29"/>
        <v>0</v>
      </c>
      <c r="W74" s="787"/>
      <c r="X74" s="241">
        <f t="shared" si="30"/>
        <v>0</v>
      </c>
      <c r="Y74" s="494"/>
      <c r="Z74" s="168"/>
      <c r="AA74" s="179"/>
      <c r="AB74" s="169"/>
      <c r="AC74" s="169"/>
      <c r="AD74" s="168"/>
      <c r="AE74" s="180"/>
      <c r="AF74" s="169"/>
    </row>
    <row r="75" spans="1:32" ht="16.5" customHeight="1" hidden="1" thickBot="1">
      <c r="A75" s="1310" t="s">
        <v>658</v>
      </c>
      <c r="B75" s="1311"/>
      <c r="C75" s="1312"/>
      <c r="D75" s="696">
        <f>SUM(D69:D74)</f>
        <v>2431967</v>
      </c>
      <c r="E75" s="697">
        <f>SUM(E69:E74)</f>
        <v>1227301</v>
      </c>
      <c r="F75" s="692">
        <f>SUM(F69:F74)</f>
        <v>1753109</v>
      </c>
      <c r="G75" s="705">
        <f>SUM(G69:G74)</f>
        <v>728707.7860000001</v>
      </c>
      <c r="H75" s="696"/>
      <c r="I75" s="241">
        <f t="shared" si="24"/>
        <v>0</v>
      </c>
      <c r="J75" s="788"/>
      <c r="K75" s="696">
        <f>SUM(K69:K74)</f>
        <v>2570439</v>
      </c>
      <c r="L75" s="697">
        <f>SUM(L69:L74)</f>
        <v>1287913</v>
      </c>
      <c r="M75" s="692">
        <f>SUM(M69:M74)</f>
        <v>1948633</v>
      </c>
      <c r="N75" s="681">
        <f>SUM(N69:N74)</f>
        <v>836738</v>
      </c>
      <c r="O75" s="789">
        <f>K75/D75*100-100</f>
        <v>5.6938272599916075</v>
      </c>
      <c r="P75" s="678">
        <f>L75/E75*100-100</f>
        <v>4.938641783881863</v>
      </c>
      <c r="Q75" s="678">
        <f>M75/F75*100-100</f>
        <v>11.152985923864406</v>
      </c>
      <c r="R75" s="678"/>
      <c r="S75" s="679">
        <f t="shared" si="26"/>
        <v>138472</v>
      </c>
      <c r="T75" s="679">
        <f t="shared" si="27"/>
        <v>60612</v>
      </c>
      <c r="U75" s="679">
        <f t="shared" si="28"/>
        <v>195524</v>
      </c>
      <c r="V75" s="790">
        <f t="shared" si="29"/>
        <v>108030.21399999992</v>
      </c>
      <c r="W75" s="791"/>
      <c r="X75" s="241">
        <f t="shared" si="30"/>
        <v>0</v>
      </c>
      <c r="Y75" s="792"/>
      <c r="Z75" s="198"/>
      <c r="AA75" s="198"/>
      <c r="AB75" s="169"/>
      <c r="AC75" s="169"/>
      <c r="AD75" s="168"/>
      <c r="AE75" s="180"/>
      <c r="AF75" s="169"/>
    </row>
    <row r="76" spans="1:32" ht="16.5" customHeight="1" hidden="1" thickTop="1">
      <c r="A76" s="686"/>
      <c r="B76" s="680"/>
      <c r="C76" s="688"/>
      <c r="D76" s="698"/>
      <c r="E76" s="699"/>
      <c r="F76" s="693"/>
      <c r="G76" s="688"/>
      <c r="H76" s="698"/>
      <c r="I76" s="241" t="e">
        <f t="shared" si="24"/>
        <v>#DIV/0!</v>
      </c>
      <c r="J76" s="793"/>
      <c r="K76" s="698"/>
      <c r="L76" s="699"/>
      <c r="M76" s="693"/>
      <c r="N76" s="680"/>
      <c r="O76" s="682"/>
      <c r="P76" s="682"/>
      <c r="Q76" s="682"/>
      <c r="R76" s="682"/>
      <c r="S76" s="683"/>
      <c r="T76" s="683"/>
      <c r="U76" s="683"/>
      <c r="V76" s="794"/>
      <c r="W76" s="698"/>
      <c r="X76" s="241" t="e">
        <f t="shared" si="30"/>
        <v>#DIV/0!</v>
      </c>
      <c r="Y76" s="792"/>
      <c r="Z76" s="198"/>
      <c r="AA76" s="198"/>
      <c r="AB76" s="169"/>
      <c r="AC76" s="169"/>
      <c r="AD76" s="168"/>
      <c r="AE76" s="180"/>
      <c r="AF76" s="169"/>
    </row>
    <row r="77" spans="1:32" ht="16.5" customHeight="1" hidden="1" thickBot="1">
      <c r="A77" s="1301" t="s">
        <v>659</v>
      </c>
      <c r="B77" s="1302"/>
      <c r="C77" s="1303"/>
      <c r="D77" s="696">
        <f>D75+D68+D62+D12</f>
        <v>11635699</v>
      </c>
      <c r="E77" s="697">
        <f>E75+E68+E62+E12</f>
        <v>8575722</v>
      </c>
      <c r="F77" s="692">
        <f>F75+F68+F62+F12</f>
        <v>10268871</v>
      </c>
      <c r="G77" s="705">
        <f>G75+G68+G62+G12</f>
        <v>6659751.810999999</v>
      </c>
      <c r="H77" s="696"/>
      <c r="I77" s="241">
        <f t="shared" si="24"/>
        <v>0</v>
      </c>
      <c r="J77" s="788"/>
      <c r="K77" s="696">
        <f>K75+K68+K62+K12</f>
        <v>12358169</v>
      </c>
      <c r="L77" s="697">
        <f>L75+L68+L62+L12</f>
        <v>8891562</v>
      </c>
      <c r="M77" s="692">
        <f>M75+M68+M62+M12</f>
        <v>10862249</v>
      </c>
      <c r="N77" s="681">
        <f>N75+N68+N62+N12</f>
        <v>6470740.1</v>
      </c>
      <c r="O77" s="681">
        <f>K77/D77*100-100</f>
        <v>6.2090812077555455</v>
      </c>
      <c r="P77" s="681">
        <f>L77/E77*100-100</f>
        <v>3.6829552077364553</v>
      </c>
      <c r="Q77" s="681">
        <f>M77/F77*100-100</f>
        <v>5.778415173391508</v>
      </c>
      <c r="R77" s="681">
        <f>N77/G77*100-100</f>
        <v>-2.8381194429468906</v>
      </c>
      <c r="S77" s="681">
        <f>K77-D77</f>
        <v>722470</v>
      </c>
      <c r="T77" s="681">
        <f>L77-E77</f>
        <v>315840</v>
      </c>
      <c r="U77" s="681">
        <f>M77-F77</f>
        <v>593378</v>
      </c>
      <c r="V77" s="705">
        <f>N77-G77</f>
        <v>-189011.7109999992</v>
      </c>
      <c r="W77" s="795"/>
      <c r="X77" s="241">
        <f t="shared" si="30"/>
        <v>0</v>
      </c>
      <c r="Y77" s="792"/>
      <c r="Z77" s="198"/>
      <c r="AA77" s="198"/>
      <c r="AB77" s="169"/>
      <c r="AC77" s="169"/>
      <c r="AD77" s="168"/>
      <c r="AE77" s="180"/>
      <c r="AF77" s="169"/>
    </row>
    <row r="78" spans="1:32" ht="16.5" customHeight="1">
      <c r="A78" s="1304" t="s">
        <v>652</v>
      </c>
      <c r="B78" s="1305"/>
      <c r="C78" s="1306"/>
      <c r="D78" s="225">
        <v>401875</v>
      </c>
      <c r="E78" s="226">
        <v>290359</v>
      </c>
      <c r="F78" s="691">
        <v>93014</v>
      </c>
      <c r="G78" s="704">
        <v>0</v>
      </c>
      <c r="H78" s="225">
        <f aca="true" t="shared" si="32" ref="H78:H84">F78-G78</f>
        <v>93014</v>
      </c>
      <c r="I78" s="241">
        <f t="shared" si="24"/>
        <v>0.23145007776049767</v>
      </c>
      <c r="J78" s="785"/>
      <c r="K78" s="225">
        <v>409523</v>
      </c>
      <c r="L78" s="226">
        <v>274941</v>
      </c>
      <c r="M78" s="691">
        <v>92361</v>
      </c>
      <c r="N78" s="182">
        <v>0</v>
      </c>
      <c r="O78" s="182"/>
      <c r="P78" s="182"/>
      <c r="Q78" s="182"/>
      <c r="R78" s="182"/>
      <c r="S78" s="182"/>
      <c r="T78" s="182"/>
      <c r="U78" s="684"/>
      <c r="V78" s="796"/>
      <c r="W78" s="225">
        <f aca="true" t="shared" si="33" ref="W78:W83">M78-N78</f>
        <v>92361</v>
      </c>
      <c r="X78" s="241">
        <f t="shared" si="30"/>
        <v>0.22553312023988883</v>
      </c>
      <c r="Y78" s="494"/>
      <c r="Z78" s="168"/>
      <c r="AA78" s="169"/>
      <c r="AB78" s="169"/>
      <c r="AC78" s="169"/>
      <c r="AD78" s="168"/>
      <c r="AE78" s="168"/>
      <c r="AF78" s="169"/>
    </row>
    <row r="79" spans="1:32" ht="16.5" customHeight="1">
      <c r="A79" s="1304" t="s">
        <v>653</v>
      </c>
      <c r="B79" s="1305"/>
      <c r="C79" s="1306"/>
      <c r="D79" s="225">
        <v>738625</v>
      </c>
      <c r="E79" s="718">
        <v>84428</v>
      </c>
      <c r="F79" s="691">
        <v>511316</v>
      </c>
      <c r="G79" s="704">
        <v>247500</v>
      </c>
      <c r="H79" s="225">
        <f t="shared" si="32"/>
        <v>263816</v>
      </c>
      <c r="I79" s="241">
        <f t="shared" si="24"/>
        <v>0.3571717718734134</v>
      </c>
      <c r="J79" s="785"/>
      <c r="K79" s="225">
        <v>776038</v>
      </c>
      <c r="L79" s="226">
        <v>86954</v>
      </c>
      <c r="M79" s="691">
        <v>590288</v>
      </c>
      <c r="N79" s="786">
        <v>317600</v>
      </c>
      <c r="O79" s="182"/>
      <c r="P79" s="182"/>
      <c r="Q79" s="182"/>
      <c r="R79" s="182"/>
      <c r="S79" s="182">
        <f>SUM(S62,S68,S75)</f>
        <v>624433</v>
      </c>
      <c r="T79" s="182"/>
      <c r="U79" s="182">
        <f>SUM(U62,U68,U75)</f>
        <v>495341</v>
      </c>
      <c r="V79" s="704">
        <f>SUM(V62,V68,V75)</f>
        <v>-189011.711</v>
      </c>
      <c r="W79" s="225">
        <f t="shared" si="33"/>
        <v>272688</v>
      </c>
      <c r="X79" s="241">
        <f t="shared" si="30"/>
        <v>0.35138485486535453</v>
      </c>
      <c r="Y79" s="797"/>
      <c r="Z79" s="168"/>
      <c r="AA79" s="168"/>
      <c r="AB79" s="168"/>
      <c r="AC79" s="168"/>
      <c r="AD79" s="168"/>
      <c r="AE79" s="168"/>
      <c r="AF79" s="169"/>
    </row>
    <row r="80" spans="1:32" ht="16.5" customHeight="1">
      <c r="A80" s="1304" t="s">
        <v>654</v>
      </c>
      <c r="B80" s="1305"/>
      <c r="C80" s="1306"/>
      <c r="D80" s="225">
        <v>103960</v>
      </c>
      <c r="E80" s="718">
        <v>84787</v>
      </c>
      <c r="F80" s="691">
        <v>100460</v>
      </c>
      <c r="G80" s="704">
        <v>0</v>
      </c>
      <c r="H80" s="225">
        <f t="shared" si="32"/>
        <v>100460</v>
      </c>
      <c r="I80" s="241">
        <f t="shared" si="24"/>
        <v>0.9663332050788765</v>
      </c>
      <c r="J80" s="785"/>
      <c r="K80" s="225">
        <v>109767</v>
      </c>
      <c r="L80" s="226">
        <v>87292</v>
      </c>
      <c r="M80" s="691">
        <v>106267</v>
      </c>
      <c r="N80" s="182">
        <v>0</v>
      </c>
      <c r="O80" s="182"/>
      <c r="P80" s="182"/>
      <c r="Q80" s="182"/>
      <c r="R80" s="182"/>
      <c r="S80" s="182"/>
      <c r="T80" s="182"/>
      <c r="U80" s="182"/>
      <c r="V80" s="704"/>
      <c r="W80" s="225">
        <f t="shared" si="33"/>
        <v>106267</v>
      </c>
      <c r="X80" s="241">
        <f t="shared" si="30"/>
        <v>0.9681142784261207</v>
      </c>
      <c r="Y80" s="797"/>
      <c r="Z80" s="168"/>
      <c r="AA80" s="168"/>
      <c r="AB80" s="168"/>
      <c r="AC80" s="168"/>
      <c r="AD80" s="168"/>
      <c r="AE80" s="168"/>
      <c r="AF80" s="169"/>
    </row>
    <row r="81" spans="1:32" ht="16.5" customHeight="1">
      <c r="A81" s="1304" t="s">
        <v>655</v>
      </c>
      <c r="B81" s="1305"/>
      <c r="C81" s="1306"/>
      <c r="D81" s="225">
        <v>596401</v>
      </c>
      <c r="E81" s="226">
        <v>275369</v>
      </c>
      <c r="F81" s="691">
        <v>564404</v>
      </c>
      <c r="G81" s="704">
        <v>0</v>
      </c>
      <c r="H81" s="225">
        <f t="shared" si="32"/>
        <v>564404</v>
      </c>
      <c r="I81" s="241">
        <f t="shared" si="24"/>
        <v>0.9463498552148638</v>
      </c>
      <c r="J81" s="785"/>
      <c r="K81" s="225">
        <v>648417</v>
      </c>
      <c r="L81" s="226">
        <v>308927</v>
      </c>
      <c r="M81" s="691">
        <v>616087</v>
      </c>
      <c r="N81" s="182">
        <v>0</v>
      </c>
      <c r="O81" s="182"/>
      <c r="P81" s="182"/>
      <c r="Q81" s="182"/>
      <c r="R81" s="182"/>
      <c r="S81" s="182"/>
      <c r="T81" s="182"/>
      <c r="U81" s="182"/>
      <c r="V81" s="704"/>
      <c r="W81" s="225">
        <f t="shared" si="33"/>
        <v>616087</v>
      </c>
      <c r="X81" s="241">
        <f t="shared" si="30"/>
        <v>0.9501401104536125</v>
      </c>
      <c r="Y81" s="797"/>
      <c r="Z81" s="168"/>
      <c r="AA81" s="168"/>
      <c r="AB81" s="168"/>
      <c r="AC81" s="168"/>
      <c r="AD81" s="168"/>
      <c r="AE81" s="168"/>
      <c r="AF81" s="169"/>
    </row>
    <row r="82" spans="1:32" ht="16.5" customHeight="1">
      <c r="A82" s="1304" t="s">
        <v>656</v>
      </c>
      <c r="B82" s="1305"/>
      <c r="C82" s="1306"/>
      <c r="D82" s="225">
        <v>492406</v>
      </c>
      <c r="E82" s="226">
        <v>444398</v>
      </c>
      <c r="F82" s="691">
        <v>483915</v>
      </c>
      <c r="G82" s="704">
        <v>481207.786</v>
      </c>
      <c r="H82" s="225">
        <f t="shared" si="32"/>
        <v>2707.213999999978</v>
      </c>
      <c r="I82" s="241">
        <f t="shared" si="24"/>
        <v>0.005497930569489361</v>
      </c>
      <c r="J82" s="785"/>
      <c r="K82" s="225">
        <v>533829</v>
      </c>
      <c r="L82" s="226">
        <v>481034</v>
      </c>
      <c r="M82" s="691">
        <v>523630</v>
      </c>
      <c r="N82" s="786">
        <v>519138</v>
      </c>
      <c r="O82" s="182"/>
      <c r="P82" s="182"/>
      <c r="Q82" s="182"/>
      <c r="R82" s="182"/>
      <c r="S82" s="182"/>
      <c r="T82" s="182"/>
      <c r="U82" s="182"/>
      <c r="V82" s="704"/>
      <c r="W82" s="225">
        <f t="shared" si="33"/>
        <v>4492</v>
      </c>
      <c r="X82" s="241">
        <f t="shared" si="30"/>
        <v>0.008414679607140114</v>
      </c>
      <c r="Y82" s="797"/>
      <c r="Z82" s="168"/>
      <c r="AA82" s="168"/>
      <c r="AB82" s="168"/>
      <c r="AC82" s="168"/>
      <c r="AD82" s="168"/>
      <c r="AE82" s="168"/>
      <c r="AF82" s="169"/>
    </row>
    <row r="83" spans="1:32" ht="16.5" customHeight="1">
      <c r="A83" s="1307" t="s">
        <v>657</v>
      </c>
      <c r="B83" s="1308"/>
      <c r="C83" s="1309"/>
      <c r="D83" s="251">
        <v>98700</v>
      </c>
      <c r="E83" s="227">
        <v>47960</v>
      </c>
      <c r="F83" s="694">
        <v>0</v>
      </c>
      <c r="G83" s="714">
        <v>0</v>
      </c>
      <c r="H83" s="251">
        <f t="shared" si="32"/>
        <v>0</v>
      </c>
      <c r="I83" s="272">
        <f t="shared" si="24"/>
        <v>0</v>
      </c>
      <c r="J83" s="798"/>
      <c r="K83" s="251">
        <v>92865</v>
      </c>
      <c r="L83" s="227">
        <v>48765</v>
      </c>
      <c r="M83" s="694">
        <v>20000</v>
      </c>
      <c r="N83" s="187">
        <v>0</v>
      </c>
      <c r="O83" s="187"/>
      <c r="P83" s="187"/>
      <c r="Q83" s="187"/>
      <c r="R83" s="187"/>
      <c r="S83" s="187"/>
      <c r="T83" s="187"/>
      <c r="U83" s="187"/>
      <c r="V83" s="714"/>
      <c r="W83" s="251">
        <f t="shared" si="33"/>
        <v>20000</v>
      </c>
      <c r="X83" s="272">
        <f t="shared" si="30"/>
        <v>0.21536639207451677</v>
      </c>
      <c r="Y83" s="799"/>
      <c r="Z83" s="168"/>
      <c r="AA83" s="168"/>
      <c r="AB83" s="168"/>
      <c r="AC83" s="168"/>
      <c r="AD83" s="168"/>
      <c r="AE83" s="168"/>
      <c r="AF83" s="169"/>
    </row>
    <row r="84" spans="1:32" s="265" customFormat="1" ht="16.5" customHeight="1" thickBot="1">
      <c r="A84" s="1266" t="s">
        <v>658</v>
      </c>
      <c r="B84" s="1267"/>
      <c r="C84" s="1268"/>
      <c r="D84" s="701">
        <f>SUM(D78:D83)</f>
        <v>2431967</v>
      </c>
      <c r="E84" s="702">
        <f>SUM(E78:E83)</f>
        <v>1227301</v>
      </c>
      <c r="F84" s="700">
        <f>SUM(F78:F83)</f>
        <v>1753109</v>
      </c>
      <c r="G84" s="715">
        <f>SUM(G78:G83)</f>
        <v>728707.7860000001</v>
      </c>
      <c r="H84" s="770">
        <f t="shared" si="32"/>
        <v>1024401.2139999999</v>
      </c>
      <c r="I84" s="499">
        <f t="shared" si="24"/>
        <v>0.42122332005327373</v>
      </c>
      <c r="J84" s="800"/>
      <c r="K84" s="701">
        <f aca="true" t="shared" si="34" ref="K84:W84">SUM(K78:K83)</f>
        <v>2570439</v>
      </c>
      <c r="L84" s="702">
        <f t="shared" si="34"/>
        <v>1287913</v>
      </c>
      <c r="M84" s="700">
        <f t="shared" si="34"/>
        <v>1948633</v>
      </c>
      <c r="N84" s="200">
        <f t="shared" si="34"/>
        <v>836738</v>
      </c>
      <c r="O84" s="200">
        <f t="shared" si="34"/>
        <v>0</v>
      </c>
      <c r="P84" s="200">
        <f t="shared" si="34"/>
        <v>0</v>
      </c>
      <c r="Q84" s="200">
        <f t="shared" si="34"/>
        <v>0</v>
      </c>
      <c r="R84" s="200">
        <f t="shared" si="34"/>
        <v>0</v>
      </c>
      <c r="S84" s="200">
        <f t="shared" si="34"/>
        <v>624433</v>
      </c>
      <c r="T84" s="200">
        <f t="shared" si="34"/>
        <v>0</v>
      </c>
      <c r="U84" s="200">
        <f t="shared" si="34"/>
        <v>495341</v>
      </c>
      <c r="V84" s="715">
        <f t="shared" si="34"/>
        <v>-189011.711</v>
      </c>
      <c r="W84" s="701">
        <f t="shared" si="34"/>
        <v>1111895</v>
      </c>
      <c r="X84" s="499">
        <f t="shared" si="30"/>
        <v>0.4325700784963191</v>
      </c>
      <c r="Y84" s="801"/>
      <c r="Z84" s="192"/>
      <c r="AA84" s="192"/>
      <c r="AB84" s="192"/>
      <c r="AC84" s="192"/>
      <c r="AD84" s="192"/>
      <c r="AE84" s="192"/>
      <c r="AF84" s="263"/>
    </row>
    <row r="85" spans="1:31" s="169" customFormat="1" ht="16.5" customHeight="1" thickTop="1">
      <c r="A85" s="201"/>
      <c r="B85" s="201"/>
      <c r="C85" s="201"/>
      <c r="D85" s="201"/>
      <c r="E85" s="201"/>
      <c r="F85" s="201"/>
      <c r="G85" s="201"/>
      <c r="H85" s="168"/>
      <c r="I85" s="675"/>
      <c r="J85" s="168"/>
      <c r="K85" s="201"/>
      <c r="L85" s="201"/>
      <c r="M85" s="201"/>
      <c r="N85" s="201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</row>
    <row r="86" spans="1:31" s="169" customFormat="1" ht="16.5" customHeight="1">
      <c r="A86" s="199" t="s">
        <v>660</v>
      </c>
      <c r="B86" s="687"/>
      <c r="C86" s="687"/>
      <c r="D86" s="198"/>
      <c r="E86" s="198"/>
      <c r="F86" s="198"/>
      <c r="G86" s="198"/>
      <c r="H86" s="168"/>
      <c r="I86" s="675"/>
      <c r="J86" s="168"/>
      <c r="K86" s="198"/>
      <c r="L86" s="198"/>
      <c r="M86" s="198"/>
      <c r="N86" s="19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</row>
    <row r="87" spans="1:32" ht="16.5" customHeight="1">
      <c r="A87" s="199"/>
      <c r="B87" s="168"/>
      <c r="C87" s="168"/>
      <c r="D87" s="199"/>
      <c r="S87" s="168"/>
      <c r="T87" s="168"/>
      <c r="U87" s="168"/>
      <c r="V87" s="168"/>
      <c r="X87" s="168"/>
      <c r="Y87" s="168"/>
      <c r="Z87" s="168"/>
      <c r="AA87" s="168"/>
      <c r="AB87" s="168"/>
      <c r="AC87" s="168"/>
      <c r="AD87" s="168"/>
      <c r="AE87" s="168"/>
      <c r="AF87" s="169"/>
    </row>
    <row r="88" spans="2:32" ht="16.5" customHeight="1"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U88" s="166"/>
      <c r="V88" s="166"/>
      <c r="X88" s="168"/>
      <c r="Y88" s="168"/>
      <c r="Z88" s="168"/>
      <c r="AA88" s="168"/>
      <c r="AB88" s="168"/>
      <c r="AC88" s="168"/>
      <c r="AD88" s="168"/>
      <c r="AE88" s="168"/>
      <c r="AF88" s="169"/>
    </row>
    <row r="89" spans="1:32" ht="13.5" customHeight="1">
      <c r="A89" s="202"/>
      <c r="B89" s="202"/>
      <c r="C89" s="202"/>
      <c r="D89" s="203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5"/>
      <c r="S89" s="166">
        <f>S77-S79</f>
        <v>98037</v>
      </c>
      <c r="U89" s="166">
        <f>U77-U79</f>
        <v>98037</v>
      </c>
      <c r="V89" s="166">
        <f>V77-V79</f>
        <v>8.149072527885437E-10</v>
      </c>
      <c r="X89" s="168"/>
      <c r="Y89" s="168"/>
      <c r="Z89" s="168"/>
      <c r="AA89" s="168"/>
      <c r="AB89" s="168"/>
      <c r="AC89" s="168"/>
      <c r="AD89" s="168"/>
      <c r="AE89" s="168"/>
      <c r="AF89" s="169"/>
    </row>
    <row r="90" spans="1:29" ht="12.75">
      <c r="A90" s="202"/>
      <c r="B90" s="202"/>
      <c r="C90" s="202"/>
      <c r="D90" s="172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6"/>
      <c r="P90" s="204"/>
      <c r="Q90" s="204"/>
      <c r="R90" s="207"/>
      <c r="U90" s="166"/>
      <c r="V90" s="166"/>
      <c r="Y90" s="166"/>
      <c r="AA90" s="166"/>
      <c r="AB90" s="166"/>
      <c r="AC90" s="166"/>
    </row>
    <row r="91" spans="1:29" ht="12.75">
      <c r="A91" s="202"/>
      <c r="B91" s="202"/>
      <c r="C91" s="202"/>
      <c r="D91" s="208"/>
      <c r="E91" s="204"/>
      <c r="F91" s="204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171"/>
      <c r="U91" s="166"/>
      <c r="V91" s="166"/>
      <c r="Y91" s="166"/>
      <c r="AA91" s="166"/>
      <c r="AB91" s="166"/>
      <c r="AC91" s="166"/>
    </row>
    <row r="92" spans="1:29" ht="12.75">
      <c r="A92" s="210"/>
      <c r="B92" s="210"/>
      <c r="C92" s="210"/>
      <c r="D92" s="210"/>
      <c r="E92" s="211"/>
      <c r="F92" s="210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0"/>
      <c r="U92" s="166"/>
      <c r="V92" s="166"/>
      <c r="Y92" s="166"/>
      <c r="AA92" s="166"/>
      <c r="AB92" s="166"/>
      <c r="AC92" s="166"/>
    </row>
    <row r="93" spans="1:29" ht="12.75">
      <c r="A93" s="199"/>
      <c r="B93" s="168"/>
      <c r="C93" s="168"/>
      <c r="D93" s="168"/>
      <c r="E93" s="17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U93" s="166"/>
      <c r="V93" s="166"/>
      <c r="Y93" s="166"/>
      <c r="AA93" s="166"/>
      <c r="AB93" s="166"/>
      <c r="AC93" s="166"/>
    </row>
    <row r="94" spans="1:29" ht="12.75">
      <c r="A94" s="199"/>
      <c r="B94" s="168"/>
      <c r="C94" s="168"/>
      <c r="D94" s="19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U94" s="166"/>
      <c r="V94" s="166"/>
      <c r="Y94" s="166"/>
      <c r="AA94" s="166"/>
      <c r="AB94" s="166"/>
      <c r="AC94" s="166"/>
    </row>
    <row r="95" spans="1:29" ht="12.75">
      <c r="A95" s="199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U95" s="166"/>
      <c r="V95" s="166"/>
      <c r="Y95" s="166"/>
      <c r="AA95" s="166"/>
      <c r="AB95" s="166"/>
      <c r="AC95" s="166"/>
    </row>
    <row r="96" spans="1:29" ht="12.75">
      <c r="A96" s="199"/>
      <c r="B96" s="199"/>
      <c r="C96" s="199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U96" s="166"/>
      <c r="V96" s="166"/>
      <c r="Y96" s="166"/>
      <c r="AA96" s="166"/>
      <c r="AB96" s="166"/>
      <c r="AC96" s="166"/>
    </row>
    <row r="97" spans="1:29" ht="12.75">
      <c r="A97" s="199"/>
      <c r="B97" s="199"/>
      <c r="C97" s="199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U97" s="166"/>
      <c r="V97" s="166"/>
      <c r="Y97" s="166"/>
      <c r="AA97" s="166"/>
      <c r="AB97" s="166"/>
      <c r="AC97" s="166"/>
    </row>
    <row r="98" spans="1:29" ht="12.75">
      <c r="A98" s="199"/>
      <c r="B98" s="199"/>
      <c r="C98" s="199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U98" s="166"/>
      <c r="V98" s="166"/>
      <c r="Y98" s="166"/>
      <c r="AA98" s="166"/>
      <c r="AB98" s="166"/>
      <c r="AC98" s="166"/>
    </row>
    <row r="99" spans="1:29" ht="12.75">
      <c r="A99" s="199"/>
      <c r="B99" s="199"/>
      <c r="C99" s="199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U99" s="166"/>
      <c r="V99" s="166"/>
      <c r="Y99" s="166"/>
      <c r="AA99" s="166"/>
      <c r="AB99" s="166"/>
      <c r="AC99" s="166"/>
    </row>
    <row r="100" spans="1:29" ht="12.75">
      <c r="A100" s="213"/>
      <c r="B100" s="213"/>
      <c r="C100" s="213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U100" s="166"/>
      <c r="V100" s="166"/>
      <c r="Y100" s="166"/>
      <c r="AA100" s="166"/>
      <c r="AB100" s="166"/>
      <c r="AC100" s="166"/>
    </row>
    <row r="101" spans="1:29" ht="12.75">
      <c r="A101" s="199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U101" s="166"/>
      <c r="V101" s="166"/>
      <c r="Y101" s="166"/>
      <c r="AA101" s="166"/>
      <c r="AB101" s="166"/>
      <c r="AC101" s="166"/>
    </row>
    <row r="102" spans="1:29" ht="12.75">
      <c r="A102" s="199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U102" s="166"/>
      <c r="V102" s="166"/>
      <c r="Y102" s="166"/>
      <c r="AA102" s="166"/>
      <c r="AB102" s="166"/>
      <c r="AC102" s="166"/>
    </row>
    <row r="103" spans="1:29" ht="12.75">
      <c r="A103" s="199"/>
      <c r="B103" s="199"/>
      <c r="C103" s="199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U103" s="166"/>
      <c r="V103" s="166"/>
      <c r="Y103" s="166"/>
      <c r="AA103" s="166"/>
      <c r="AB103" s="166"/>
      <c r="AC103" s="166"/>
    </row>
    <row r="104" spans="1:29" ht="12.75">
      <c r="A104" s="199"/>
      <c r="B104" s="199"/>
      <c r="C104" s="199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U104" s="166"/>
      <c r="V104" s="166"/>
      <c r="Y104" s="166"/>
      <c r="AA104" s="166"/>
      <c r="AB104" s="166"/>
      <c r="AC104" s="166"/>
    </row>
    <row r="105" spans="1:29" ht="12.75">
      <c r="A105" s="199"/>
      <c r="B105" s="199"/>
      <c r="C105" s="199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U105" s="166"/>
      <c r="V105" s="166"/>
      <c r="Y105" s="166"/>
      <c r="AA105" s="166"/>
      <c r="AB105" s="166"/>
      <c r="AC105" s="166"/>
    </row>
    <row r="106" spans="1:29" ht="12.75">
      <c r="A106" s="199"/>
      <c r="B106" s="199"/>
      <c r="C106" s="199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U106" s="166"/>
      <c r="V106" s="166"/>
      <c r="Y106" s="166"/>
      <c r="AA106" s="166"/>
      <c r="AB106" s="166"/>
      <c r="AC106" s="166"/>
    </row>
    <row r="107" spans="1:29" ht="12.75">
      <c r="A107" s="199"/>
      <c r="B107" s="199"/>
      <c r="C107" s="199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U107" s="166"/>
      <c r="V107" s="166"/>
      <c r="Y107" s="166"/>
      <c r="AA107" s="166"/>
      <c r="AB107" s="166"/>
      <c r="AC107" s="166"/>
    </row>
    <row r="108" spans="1:29" ht="12.75">
      <c r="A108" s="199"/>
      <c r="B108" s="199"/>
      <c r="C108" s="199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U108" s="166"/>
      <c r="V108" s="166"/>
      <c r="Y108" s="166"/>
      <c r="AA108" s="166"/>
      <c r="AB108" s="166"/>
      <c r="AC108" s="166"/>
    </row>
    <row r="109" spans="1:29" ht="12.75">
      <c r="A109" s="199"/>
      <c r="B109" s="199"/>
      <c r="C109" s="199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U109" s="166"/>
      <c r="V109" s="166"/>
      <c r="Y109" s="166"/>
      <c r="AA109" s="166"/>
      <c r="AB109" s="166"/>
      <c r="AC109" s="166"/>
    </row>
    <row r="110" spans="1:29" ht="12.75">
      <c r="A110" s="199"/>
      <c r="B110" s="199"/>
      <c r="C110" s="199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U110" s="166"/>
      <c r="V110" s="166"/>
      <c r="Y110" s="166"/>
      <c r="AA110" s="166"/>
      <c r="AB110" s="166"/>
      <c r="AC110" s="166"/>
    </row>
    <row r="111" spans="1:29" ht="12.75">
      <c r="A111" s="199"/>
      <c r="B111" s="199"/>
      <c r="C111" s="199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U111" s="166"/>
      <c r="V111" s="166"/>
      <c r="Y111" s="166"/>
      <c r="AA111" s="166"/>
      <c r="AB111" s="166"/>
      <c r="AC111" s="166"/>
    </row>
    <row r="112" spans="1:29" ht="12.75">
      <c r="A112" s="199"/>
      <c r="B112" s="199"/>
      <c r="C112" s="199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U112" s="166"/>
      <c r="V112" s="166"/>
      <c r="Y112" s="166"/>
      <c r="AA112" s="166"/>
      <c r="AB112" s="166"/>
      <c r="AC112" s="166"/>
    </row>
    <row r="113" spans="1:29" ht="12.75">
      <c r="A113" s="1299"/>
      <c r="B113" s="1299"/>
      <c r="C113" s="1299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U113" s="166"/>
      <c r="V113" s="166"/>
      <c r="Y113" s="166"/>
      <c r="AA113" s="166"/>
      <c r="AB113" s="166"/>
      <c r="AC113" s="166"/>
    </row>
    <row r="114" spans="1:18" ht="12.75">
      <c r="A114" s="1299"/>
      <c r="B114" s="1299"/>
      <c r="C114" s="1299"/>
      <c r="D114" s="168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68"/>
      <c r="P114" s="168"/>
      <c r="Q114" s="168"/>
      <c r="R114" s="168"/>
    </row>
    <row r="115" spans="1:18" ht="12.75">
      <c r="A115" s="1299"/>
      <c r="B115" s="1299"/>
      <c r="C115" s="1299"/>
      <c r="D115" s="168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68"/>
      <c r="P115" s="168"/>
      <c r="Q115" s="168"/>
      <c r="R115" s="168"/>
    </row>
    <row r="116" spans="1:18" ht="12.75">
      <c r="A116" s="1299"/>
      <c r="B116" s="1299"/>
      <c r="C116" s="1299"/>
      <c r="D116" s="168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68"/>
      <c r="P116" s="168"/>
      <c r="Q116" s="168"/>
      <c r="R116" s="168"/>
    </row>
    <row r="117" spans="1:18" ht="12.75">
      <c r="A117" s="1299"/>
      <c r="B117" s="1299"/>
      <c r="C117" s="1299"/>
      <c r="D117" s="168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68"/>
      <c r="P117" s="168"/>
      <c r="Q117" s="168"/>
      <c r="R117" s="168"/>
    </row>
    <row r="118" spans="1:18" ht="12.75">
      <c r="A118" s="213"/>
      <c r="B118" s="213"/>
      <c r="C118" s="213"/>
      <c r="D118" s="192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192"/>
      <c r="P118" s="192"/>
      <c r="Q118" s="192"/>
      <c r="R118" s="192"/>
    </row>
    <row r="119" spans="1:18" ht="12.75">
      <c r="A119" s="199"/>
      <c r="B119" s="169"/>
      <c r="C119" s="169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</row>
    <row r="120" spans="1:18" ht="12.75">
      <c r="A120" s="199"/>
      <c r="B120" s="169"/>
      <c r="C120" s="169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</row>
    <row r="121" spans="1:18" ht="12.75">
      <c r="A121" s="199"/>
      <c r="B121" s="169"/>
      <c r="C121" s="169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</row>
    <row r="122" spans="1:18" ht="12.75">
      <c r="A122" s="199"/>
      <c r="B122" s="169"/>
      <c r="C122" s="169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</row>
    <row r="123" spans="1:18" ht="12.75">
      <c r="A123" s="1299"/>
      <c r="B123" s="1299"/>
      <c r="C123" s="1299"/>
      <c r="D123" s="1299"/>
      <c r="E123" s="1299"/>
      <c r="F123" s="1299"/>
      <c r="G123" s="1299"/>
      <c r="H123" s="1299"/>
      <c r="I123" s="1299"/>
      <c r="J123" s="1299"/>
      <c r="K123" s="1299"/>
      <c r="L123" s="1299"/>
      <c r="M123" s="1299"/>
      <c r="N123" s="1299"/>
      <c r="O123" s="1299"/>
      <c r="P123" s="1299"/>
      <c r="Q123" s="1299"/>
      <c r="R123" s="1299"/>
    </row>
    <row r="124" spans="1:18" ht="12.75">
      <c r="A124" s="1299"/>
      <c r="B124" s="1299"/>
      <c r="C124" s="1299"/>
      <c r="D124" s="168"/>
      <c r="E124" s="193"/>
      <c r="F124" s="193"/>
      <c r="G124" s="193"/>
      <c r="H124" s="193"/>
      <c r="I124" s="193"/>
      <c r="J124" s="193"/>
      <c r="K124" s="193"/>
      <c r="L124" s="193"/>
      <c r="M124" s="193"/>
      <c r="N124" s="193"/>
      <c r="O124" s="168"/>
      <c r="P124" s="168"/>
      <c r="Q124" s="168"/>
      <c r="R124" s="168"/>
    </row>
    <row r="125" spans="1:18" ht="12.75">
      <c r="A125" s="1299"/>
      <c r="B125" s="1299"/>
      <c r="C125" s="1299"/>
      <c r="D125" s="168"/>
      <c r="E125" s="193"/>
      <c r="F125" s="193"/>
      <c r="G125" s="193"/>
      <c r="H125" s="193"/>
      <c r="I125" s="193"/>
      <c r="J125" s="193"/>
      <c r="K125" s="193"/>
      <c r="L125" s="193"/>
      <c r="M125" s="193"/>
      <c r="N125" s="193"/>
      <c r="O125" s="168"/>
      <c r="P125" s="168"/>
      <c r="Q125" s="168"/>
      <c r="R125" s="168"/>
    </row>
    <row r="126" spans="1:18" ht="12.75">
      <c r="A126" s="1299"/>
      <c r="B126" s="1299"/>
      <c r="C126" s="1299"/>
      <c r="D126" s="168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68"/>
      <c r="P126" s="168"/>
      <c r="Q126" s="168"/>
      <c r="R126" s="168"/>
    </row>
    <row r="127" spans="1:18" ht="12.75">
      <c r="A127" s="1299"/>
      <c r="B127" s="1299"/>
      <c r="C127" s="1299"/>
      <c r="D127" s="168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68"/>
      <c r="P127" s="168"/>
      <c r="Q127" s="168"/>
      <c r="R127" s="168"/>
    </row>
    <row r="128" spans="1:18" ht="12.75">
      <c r="A128" s="1299"/>
      <c r="B128" s="1299"/>
      <c r="C128" s="1299"/>
      <c r="D128" s="168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68"/>
      <c r="P128" s="168"/>
      <c r="Q128" s="168"/>
      <c r="R128" s="168"/>
    </row>
    <row r="129" spans="1:18" ht="12.75">
      <c r="A129" s="1299"/>
      <c r="B129" s="1299"/>
      <c r="C129" s="1299"/>
      <c r="D129" s="168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68"/>
      <c r="P129" s="168"/>
      <c r="Q129" s="168"/>
      <c r="R129" s="168"/>
    </row>
    <row r="130" spans="1:18" ht="12.75">
      <c r="A130" s="1299"/>
      <c r="B130" s="1299"/>
      <c r="C130" s="1299"/>
      <c r="D130" s="168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68"/>
      <c r="P130" s="168"/>
      <c r="Q130" s="168"/>
      <c r="R130" s="168"/>
    </row>
    <row r="131" spans="1:18" ht="12.75">
      <c r="A131" s="1299"/>
      <c r="B131" s="1299"/>
      <c r="C131" s="1299"/>
      <c r="D131" s="168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68"/>
      <c r="P131" s="168"/>
      <c r="Q131" s="168"/>
      <c r="R131" s="168"/>
    </row>
    <row r="132" spans="1:18" ht="12.75">
      <c r="A132" s="1299"/>
      <c r="B132" s="1299"/>
      <c r="C132" s="1299"/>
      <c r="D132" s="168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68"/>
      <c r="P132" s="168"/>
      <c r="Q132" s="168"/>
      <c r="R132" s="168"/>
    </row>
    <row r="133" spans="1:18" ht="12.75">
      <c r="A133" s="1299"/>
      <c r="B133" s="1299"/>
      <c r="C133" s="1299"/>
      <c r="D133" s="168"/>
      <c r="E133" s="193"/>
      <c r="F133" s="193"/>
      <c r="G133" s="193"/>
      <c r="H133" s="193"/>
      <c r="I133" s="193"/>
      <c r="J133" s="193"/>
      <c r="K133" s="193"/>
      <c r="L133" s="193"/>
      <c r="M133" s="193"/>
      <c r="N133" s="193"/>
      <c r="O133" s="168"/>
      <c r="P133" s="168"/>
      <c r="Q133" s="168"/>
      <c r="R133" s="168"/>
    </row>
    <row r="134" spans="1:18" ht="12.75">
      <c r="A134" s="1299"/>
      <c r="B134" s="1299"/>
      <c r="C134" s="1299"/>
      <c r="D134" s="168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68"/>
      <c r="P134" s="168"/>
      <c r="Q134" s="168"/>
      <c r="R134" s="168"/>
    </row>
    <row r="135" spans="1:18" ht="12.75">
      <c r="A135" s="1299"/>
      <c r="B135" s="1299"/>
      <c r="C135" s="1299"/>
      <c r="D135" s="168"/>
      <c r="E135" s="193"/>
      <c r="F135" s="193"/>
      <c r="G135" s="193"/>
      <c r="H135" s="193"/>
      <c r="I135" s="193"/>
      <c r="J135" s="193"/>
      <c r="K135" s="193"/>
      <c r="L135" s="193"/>
      <c r="M135" s="193"/>
      <c r="N135" s="193"/>
      <c r="O135" s="168"/>
      <c r="P135" s="168"/>
      <c r="Q135" s="168"/>
      <c r="R135" s="168"/>
    </row>
    <row r="136" spans="1:18" ht="12.75">
      <c r="A136" s="1299"/>
      <c r="B136" s="1299"/>
      <c r="C136" s="1299"/>
      <c r="D136" s="168"/>
      <c r="E136" s="193"/>
      <c r="F136" s="193"/>
      <c r="G136" s="193"/>
      <c r="H136" s="193"/>
      <c r="I136" s="193"/>
      <c r="J136" s="193"/>
      <c r="K136" s="193"/>
      <c r="L136" s="193"/>
      <c r="M136" s="193"/>
      <c r="N136" s="193"/>
      <c r="O136" s="168"/>
      <c r="P136" s="168"/>
      <c r="Q136" s="168"/>
      <c r="R136" s="168"/>
    </row>
    <row r="137" spans="1:18" ht="12.75">
      <c r="A137" s="213"/>
      <c r="B137" s="213"/>
      <c r="C137" s="213"/>
      <c r="D137" s="192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192"/>
      <c r="P137" s="192"/>
      <c r="Q137" s="192"/>
      <c r="R137" s="192"/>
    </row>
    <row r="138" spans="1:18" ht="12.75">
      <c r="A138" s="199"/>
      <c r="B138" s="169"/>
      <c r="C138" s="169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</row>
    <row r="139" spans="1:18" ht="12.75">
      <c r="A139" s="1300"/>
      <c r="B139" s="1300"/>
      <c r="C139" s="1300"/>
      <c r="D139" s="192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192"/>
      <c r="P139" s="192"/>
      <c r="Q139" s="192"/>
      <c r="R139" s="192"/>
    </row>
    <row r="140" spans="1:18" ht="12.75">
      <c r="A140" s="199"/>
      <c r="B140" s="169"/>
      <c r="C140" s="169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</row>
    <row r="141" spans="1:18" ht="12.75">
      <c r="A141" s="1299"/>
      <c r="B141" s="1299"/>
      <c r="C141" s="1299"/>
      <c r="D141" s="168"/>
      <c r="E141" s="193"/>
      <c r="F141" s="193"/>
      <c r="G141" s="193"/>
      <c r="H141" s="193"/>
      <c r="I141" s="193"/>
      <c r="J141" s="193"/>
      <c r="K141" s="193"/>
      <c r="L141" s="193"/>
      <c r="M141" s="193"/>
      <c r="N141" s="193"/>
      <c r="O141" s="168"/>
      <c r="P141" s="168"/>
      <c r="Q141" s="168"/>
      <c r="R141" s="168"/>
    </row>
    <row r="142" spans="1:18" ht="12.75">
      <c r="A142" s="1299"/>
      <c r="B142" s="1299"/>
      <c r="C142" s="1299"/>
      <c r="D142" s="168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68"/>
      <c r="P142" s="168"/>
      <c r="Q142" s="168"/>
      <c r="R142" s="168"/>
    </row>
    <row r="143" spans="1:18" ht="12.75">
      <c r="A143" s="1299"/>
      <c r="B143" s="1299"/>
      <c r="C143" s="1299"/>
      <c r="D143" s="168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68"/>
      <c r="P143" s="168"/>
      <c r="Q143" s="168"/>
      <c r="R143" s="168"/>
    </row>
    <row r="144" spans="1:18" ht="12.75">
      <c r="A144" s="1299"/>
      <c r="B144" s="1299"/>
      <c r="C144" s="1299"/>
      <c r="D144" s="168"/>
      <c r="E144" s="193"/>
      <c r="F144" s="193"/>
      <c r="G144" s="193"/>
      <c r="H144" s="193"/>
      <c r="I144" s="193"/>
      <c r="J144" s="193"/>
      <c r="K144" s="193"/>
      <c r="L144" s="193"/>
      <c r="M144" s="193"/>
      <c r="N144" s="193"/>
      <c r="O144" s="168"/>
      <c r="P144" s="168"/>
      <c r="Q144" s="168"/>
      <c r="R144" s="168"/>
    </row>
    <row r="145" spans="1:18" ht="12.75">
      <c r="A145" s="1300"/>
      <c r="B145" s="1300"/>
      <c r="C145" s="1300"/>
      <c r="D145" s="192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192"/>
      <c r="P145" s="192"/>
      <c r="Q145" s="192"/>
      <c r="R145" s="192"/>
    </row>
    <row r="146" spans="1:18" ht="12.75">
      <c r="A146" s="1299"/>
      <c r="B146" s="1299"/>
      <c r="C146" s="1299"/>
      <c r="D146" s="168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68"/>
      <c r="P146" s="168"/>
      <c r="Q146" s="168"/>
      <c r="R146" s="168"/>
    </row>
    <row r="147" spans="1:18" ht="12.75">
      <c r="A147" s="1299"/>
      <c r="B147" s="1299"/>
      <c r="C147" s="1299"/>
      <c r="D147" s="168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68"/>
      <c r="P147" s="168"/>
      <c r="Q147" s="168"/>
      <c r="R147" s="168"/>
    </row>
    <row r="148" spans="1:18" ht="12.75">
      <c r="A148" s="1299"/>
      <c r="B148" s="1299"/>
      <c r="C148" s="1299"/>
      <c r="D148" s="168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68"/>
      <c r="P148" s="168"/>
      <c r="Q148" s="168"/>
      <c r="R148" s="168"/>
    </row>
    <row r="149" spans="1:18" ht="12.75">
      <c r="A149" s="1299"/>
      <c r="B149" s="1299"/>
      <c r="C149" s="1299"/>
      <c r="D149" s="168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68"/>
      <c r="P149" s="168"/>
      <c r="Q149" s="168"/>
      <c r="R149" s="168"/>
    </row>
    <row r="150" spans="1:18" ht="12.75">
      <c r="A150" s="1299"/>
      <c r="B150" s="1299"/>
      <c r="C150" s="1299"/>
      <c r="D150" s="168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68"/>
      <c r="P150" s="168"/>
      <c r="Q150" s="168"/>
      <c r="R150" s="168"/>
    </row>
    <row r="151" spans="1:18" ht="12.75">
      <c r="A151" s="1299"/>
      <c r="B151" s="1299"/>
      <c r="C151" s="1299"/>
      <c r="D151" s="168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68"/>
      <c r="P151" s="168"/>
      <c r="Q151" s="168"/>
      <c r="R151" s="168"/>
    </row>
    <row r="152" spans="1:18" ht="12.75">
      <c r="A152" s="1293"/>
      <c r="B152" s="1293"/>
      <c r="C152" s="1293"/>
      <c r="D152" s="192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192"/>
      <c r="P152" s="192"/>
      <c r="Q152" s="192"/>
      <c r="R152" s="192"/>
    </row>
    <row r="153" spans="1:18" ht="12.75">
      <c r="A153" s="1293"/>
      <c r="B153" s="1293"/>
      <c r="C153" s="1293"/>
      <c r="D153" s="192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192"/>
      <c r="P153" s="192"/>
      <c r="Q153" s="192"/>
      <c r="R153" s="192"/>
    </row>
    <row r="154" spans="1:18" ht="12.75">
      <c r="A154" s="199"/>
      <c r="B154" s="169"/>
      <c r="C154" s="169"/>
      <c r="D154" s="169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</row>
    <row r="155" spans="1:18" ht="12.75">
      <c r="A155" s="169"/>
      <c r="B155" s="169"/>
      <c r="C155" s="169"/>
      <c r="D155" s="169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</row>
    <row r="156" spans="1:18" ht="12.75">
      <c r="A156" s="169"/>
      <c r="B156" s="169"/>
      <c r="C156" s="169"/>
      <c r="D156" s="169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</row>
    <row r="157" spans="1:18" ht="12.75">
      <c r="A157" s="169"/>
      <c r="B157" s="169"/>
      <c r="C157" s="169"/>
      <c r="D157" s="169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</row>
  </sheetData>
  <mergeCells count="129">
    <mergeCell ref="D6:J7"/>
    <mergeCell ref="H9:I9"/>
    <mergeCell ref="J8:J10"/>
    <mergeCell ref="K8:K10"/>
    <mergeCell ref="K6:Y7"/>
    <mergeCell ref="W9:X9"/>
    <mergeCell ref="N8:X8"/>
    <mergeCell ref="Y8:Y10"/>
    <mergeCell ref="L8:L10"/>
    <mergeCell ref="N9:N10"/>
    <mergeCell ref="A12:C12"/>
    <mergeCell ref="A14:C14"/>
    <mergeCell ref="G9:G10"/>
    <mergeCell ref="G8:I8"/>
    <mergeCell ref="E8:E10"/>
    <mergeCell ref="F8:F9"/>
    <mergeCell ref="A15:C15"/>
    <mergeCell ref="A16:C16"/>
    <mergeCell ref="A17:C17"/>
    <mergeCell ref="A18:C18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8:C38"/>
    <mergeCell ref="A33:C33"/>
    <mergeCell ref="A34:C34"/>
    <mergeCell ref="A35:C35"/>
    <mergeCell ref="A37:C37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2:C62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7:C77"/>
    <mergeCell ref="A113:C113"/>
    <mergeCell ref="A114:C114"/>
    <mergeCell ref="A115:C115"/>
    <mergeCell ref="A78:C78"/>
    <mergeCell ref="A79:C79"/>
    <mergeCell ref="A80:C80"/>
    <mergeCell ref="A81:C81"/>
    <mergeCell ref="A82:C82"/>
    <mergeCell ref="A83:C83"/>
    <mergeCell ref="A116:C116"/>
    <mergeCell ref="A117:C117"/>
    <mergeCell ref="A123:R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46:C146"/>
    <mergeCell ref="A147:C147"/>
    <mergeCell ref="A139:C139"/>
    <mergeCell ref="A141:C141"/>
    <mergeCell ref="A142:C142"/>
    <mergeCell ref="A143:C143"/>
    <mergeCell ref="A152:C152"/>
    <mergeCell ref="A153:C153"/>
    <mergeCell ref="A6:C10"/>
    <mergeCell ref="D8:D10"/>
    <mergeCell ref="A148:C148"/>
    <mergeCell ref="A149:C149"/>
    <mergeCell ref="A150:C150"/>
    <mergeCell ref="A151:C151"/>
    <mergeCell ref="A144:C144"/>
    <mergeCell ref="A145:C145"/>
    <mergeCell ref="O9:P9"/>
    <mergeCell ref="M8:M10"/>
    <mergeCell ref="L42:L44"/>
    <mergeCell ref="M42:M44"/>
    <mergeCell ref="K42:K44"/>
    <mergeCell ref="Y42:Y44"/>
    <mergeCell ref="G43:G44"/>
    <mergeCell ref="H43:I43"/>
    <mergeCell ref="O43:P43"/>
    <mergeCell ref="N43:N44"/>
    <mergeCell ref="N42:X42"/>
    <mergeCell ref="W43:X43"/>
    <mergeCell ref="A84:C84"/>
    <mergeCell ref="A40:C44"/>
    <mergeCell ref="A2:Y3"/>
    <mergeCell ref="D40:J41"/>
    <mergeCell ref="K40:Y41"/>
    <mergeCell ref="D42:D44"/>
    <mergeCell ref="E42:E44"/>
    <mergeCell ref="F42:F43"/>
    <mergeCell ref="G42:I42"/>
    <mergeCell ref="J42:J44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70" r:id="rId1"/>
  <rowBreaks count="2" manualBreakCount="2">
    <brk id="38" max="255" man="1"/>
    <brk id="86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"/>
  <sheetViews>
    <sheetView zoomScale="75" zoomScaleNormal="75" workbookViewId="0" topLeftCell="A1">
      <pane xSplit="1" ySplit="4" topLeftCell="B5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F28" sqref="F28"/>
    </sheetView>
  </sheetViews>
  <sheetFormatPr defaultColWidth="9.140625" defaultRowHeight="12.75"/>
  <cols>
    <col min="1" max="1" width="42.57421875" style="87" customWidth="1"/>
    <col min="2" max="2" width="12.57421875" style="87" customWidth="1"/>
    <col min="3" max="3" width="20.00390625" style="87" customWidth="1"/>
    <col min="4" max="4" width="11.28125" style="87" bestFit="1" customWidth="1"/>
    <col min="5" max="5" width="15.421875" style="87" customWidth="1"/>
    <col min="6" max="6" width="31.7109375" style="87" customWidth="1"/>
    <col min="7" max="7" width="18.140625" style="87" customWidth="1"/>
    <col min="8" max="8" width="20.421875" style="87" customWidth="1"/>
    <col min="9" max="9" width="15.57421875" style="87" bestFit="1" customWidth="1"/>
    <col min="10" max="16384" width="10.28125" style="87" customWidth="1"/>
  </cols>
  <sheetData>
    <row r="1" ht="15.75">
      <c r="H1" s="508" t="s">
        <v>232</v>
      </c>
    </row>
    <row r="2" spans="1:8" ht="20.25" customHeight="1">
      <c r="A2" s="1334" t="s">
        <v>507</v>
      </c>
      <c r="B2" s="1334"/>
      <c r="C2" s="1334"/>
      <c r="D2" s="1334"/>
      <c r="E2" s="1334"/>
      <c r="F2" s="1334"/>
      <c r="G2" s="1334"/>
      <c r="H2" s="1334"/>
    </row>
    <row r="3" ht="16.5" thickBot="1">
      <c r="H3" s="88" t="s">
        <v>508</v>
      </c>
    </row>
    <row r="4" spans="1:9" ht="33" thickBot="1" thickTop="1">
      <c r="A4" s="89" t="s">
        <v>441</v>
      </c>
      <c r="B4" s="509" t="s">
        <v>509</v>
      </c>
      <c r="C4" s="516" t="s">
        <v>510</v>
      </c>
      <c r="D4" s="516" t="s">
        <v>511</v>
      </c>
      <c r="E4" s="516" t="s">
        <v>512</v>
      </c>
      <c r="F4" s="516" t="s">
        <v>513</v>
      </c>
      <c r="G4" s="516" t="s">
        <v>514</v>
      </c>
      <c r="H4" s="517" t="s">
        <v>515</v>
      </c>
      <c r="I4" s="510"/>
    </row>
    <row r="5" spans="1:9" ht="20.25" customHeight="1" thickTop="1">
      <c r="A5" s="90" t="s">
        <v>516</v>
      </c>
      <c r="B5" s="91" t="s">
        <v>517</v>
      </c>
      <c r="C5" s="97">
        <v>122050000</v>
      </c>
      <c r="D5" s="511" t="s">
        <v>518</v>
      </c>
      <c r="E5" s="512">
        <v>39076</v>
      </c>
      <c r="F5" s="97" t="s">
        <v>519</v>
      </c>
      <c r="G5" s="513">
        <f aca="true" t="shared" si="0" ref="G5:G20">C5-H5</f>
        <v>118113000</v>
      </c>
      <c r="H5" s="514">
        <v>3937000</v>
      </c>
      <c r="I5" s="510"/>
    </row>
    <row r="6" spans="1:9" ht="20.25" customHeight="1">
      <c r="A6" s="92" t="s">
        <v>520</v>
      </c>
      <c r="B6" s="93" t="s">
        <v>517</v>
      </c>
      <c r="C6" s="94">
        <v>14436000</v>
      </c>
      <c r="D6" s="95" t="s">
        <v>521</v>
      </c>
      <c r="E6" s="96">
        <v>39436</v>
      </c>
      <c r="F6" s="97" t="s">
        <v>522</v>
      </c>
      <c r="G6" s="98">
        <f t="shared" si="0"/>
        <v>10105200</v>
      </c>
      <c r="H6" s="99">
        <v>4330800</v>
      </c>
      <c r="I6" s="510"/>
    </row>
    <row r="7" spans="1:9" ht="20.25" customHeight="1">
      <c r="A7" s="100" t="s">
        <v>523</v>
      </c>
      <c r="B7" s="93" t="s">
        <v>517</v>
      </c>
      <c r="C7" s="94">
        <v>4983331</v>
      </c>
      <c r="D7" s="95" t="s">
        <v>524</v>
      </c>
      <c r="E7" s="96">
        <v>38786</v>
      </c>
      <c r="F7" s="94" t="s">
        <v>525</v>
      </c>
      <c r="G7" s="98">
        <f t="shared" si="0"/>
        <v>4983331</v>
      </c>
      <c r="H7" s="99">
        <v>0</v>
      </c>
      <c r="I7" s="510"/>
    </row>
    <row r="8" spans="1:9" ht="20.25" customHeight="1">
      <c r="A8" s="92" t="s">
        <v>526</v>
      </c>
      <c r="B8" s="93" t="s">
        <v>517</v>
      </c>
      <c r="C8" s="94">
        <v>20000000</v>
      </c>
      <c r="D8" s="95" t="s">
        <v>527</v>
      </c>
      <c r="E8" s="96">
        <v>40167</v>
      </c>
      <c r="F8" s="94" t="s">
        <v>522</v>
      </c>
      <c r="G8" s="98">
        <f t="shared" si="0"/>
        <v>6000000</v>
      </c>
      <c r="H8" s="99">
        <v>14000000</v>
      </c>
      <c r="I8" s="510"/>
    </row>
    <row r="9" spans="1:9" ht="20.25" customHeight="1">
      <c r="A9" s="101" t="s">
        <v>528</v>
      </c>
      <c r="B9" s="93" t="s">
        <v>517</v>
      </c>
      <c r="C9" s="94">
        <v>42033000</v>
      </c>
      <c r="D9" s="95" t="s">
        <v>527</v>
      </c>
      <c r="E9" s="96">
        <v>40167</v>
      </c>
      <c r="F9" s="94" t="s">
        <v>522</v>
      </c>
      <c r="G9" s="98">
        <f t="shared" si="0"/>
        <v>12609900</v>
      </c>
      <c r="H9" s="99">
        <v>29423100</v>
      </c>
      <c r="I9" s="510"/>
    </row>
    <row r="10" spans="1:9" ht="20.25" customHeight="1">
      <c r="A10" s="102" t="s">
        <v>534</v>
      </c>
      <c r="B10" s="93" t="s">
        <v>535</v>
      </c>
      <c r="C10" s="94">
        <v>380000000</v>
      </c>
      <c r="D10" s="95" t="s">
        <v>536</v>
      </c>
      <c r="E10" s="96">
        <v>41274</v>
      </c>
      <c r="F10" s="94" t="s">
        <v>537</v>
      </c>
      <c r="G10" s="98">
        <f t="shared" si="0"/>
        <v>231800000</v>
      </c>
      <c r="H10" s="99">
        <v>148200000</v>
      </c>
      <c r="I10" s="510"/>
    </row>
    <row r="11" spans="1:9" ht="20.25" customHeight="1">
      <c r="A11" s="92" t="s">
        <v>538</v>
      </c>
      <c r="B11" s="93" t="s">
        <v>535</v>
      </c>
      <c r="C11" s="94">
        <v>219546000</v>
      </c>
      <c r="D11" s="95" t="s">
        <v>521</v>
      </c>
      <c r="E11" s="96">
        <v>40543</v>
      </c>
      <c r="F11" s="94" t="s">
        <v>537</v>
      </c>
      <c r="G11" s="98">
        <f t="shared" si="0"/>
        <v>129724364</v>
      </c>
      <c r="H11" s="99">
        <v>89821636</v>
      </c>
      <c r="I11" s="510"/>
    </row>
    <row r="12" spans="1:9" ht="20.25" customHeight="1">
      <c r="A12" s="102" t="s">
        <v>539</v>
      </c>
      <c r="B12" s="93" t="s">
        <v>535</v>
      </c>
      <c r="C12" s="94">
        <v>150000000</v>
      </c>
      <c r="D12" s="95" t="s">
        <v>524</v>
      </c>
      <c r="E12" s="96">
        <v>40908</v>
      </c>
      <c r="F12" s="94" t="s">
        <v>537</v>
      </c>
      <c r="G12" s="98">
        <f t="shared" si="0"/>
        <v>61153846</v>
      </c>
      <c r="H12" s="99">
        <v>88846154</v>
      </c>
      <c r="I12" s="510"/>
    </row>
    <row r="13" spans="1:9" ht="20.25" customHeight="1">
      <c r="A13" s="100" t="s">
        <v>540</v>
      </c>
      <c r="B13" s="93" t="s">
        <v>535</v>
      </c>
      <c r="C13" s="94">
        <v>144382000</v>
      </c>
      <c r="D13" s="95" t="s">
        <v>524</v>
      </c>
      <c r="E13" s="96">
        <v>40908</v>
      </c>
      <c r="F13" s="94" t="s">
        <v>537</v>
      </c>
      <c r="G13" s="98">
        <f t="shared" si="0"/>
        <v>58863430</v>
      </c>
      <c r="H13" s="99">
        <v>85518570</v>
      </c>
      <c r="I13" s="510"/>
    </row>
    <row r="14" spans="1:9" ht="20.25" customHeight="1">
      <c r="A14" s="100" t="s">
        <v>541</v>
      </c>
      <c r="B14" s="93" t="s">
        <v>535</v>
      </c>
      <c r="C14" s="94">
        <v>114618000</v>
      </c>
      <c r="D14" s="95" t="s">
        <v>524</v>
      </c>
      <c r="E14" s="96">
        <v>40908</v>
      </c>
      <c r="F14" s="94" t="s">
        <v>537</v>
      </c>
      <c r="G14" s="98">
        <f t="shared" si="0"/>
        <v>46728876</v>
      </c>
      <c r="H14" s="99">
        <v>67889124</v>
      </c>
      <c r="I14" s="510"/>
    </row>
    <row r="15" spans="1:9" ht="20.25" customHeight="1">
      <c r="A15" s="92" t="s">
        <v>542</v>
      </c>
      <c r="B15" s="93" t="s">
        <v>535</v>
      </c>
      <c r="C15" s="94">
        <v>340967000</v>
      </c>
      <c r="D15" s="95" t="s">
        <v>527</v>
      </c>
      <c r="E15" s="96">
        <v>42004</v>
      </c>
      <c r="F15" s="94" t="s">
        <v>537</v>
      </c>
      <c r="G15" s="98">
        <f t="shared" si="0"/>
        <v>66398836</v>
      </c>
      <c r="H15" s="99">
        <v>274568164</v>
      </c>
      <c r="I15" s="510"/>
    </row>
    <row r="16" spans="1:9" ht="20.25" customHeight="1">
      <c r="A16" s="101" t="s">
        <v>543</v>
      </c>
      <c r="B16" s="93" t="s">
        <v>535</v>
      </c>
      <c r="C16" s="94">
        <v>667000000</v>
      </c>
      <c r="D16" s="95" t="s">
        <v>544</v>
      </c>
      <c r="E16" s="96">
        <v>43830</v>
      </c>
      <c r="F16" s="94" t="s">
        <v>537</v>
      </c>
      <c r="G16" s="98">
        <f t="shared" si="0"/>
        <v>0</v>
      </c>
      <c r="H16" s="99">
        <v>667000000</v>
      </c>
      <c r="I16" s="510"/>
    </row>
    <row r="17" spans="1:9" ht="20.25" customHeight="1">
      <c r="A17" s="101" t="s">
        <v>545</v>
      </c>
      <c r="B17" s="93" t="s">
        <v>535</v>
      </c>
      <c r="C17" s="94">
        <f>SUM(H17)</f>
        <v>265999829</v>
      </c>
      <c r="D17" s="95" t="s">
        <v>544</v>
      </c>
      <c r="E17" s="96">
        <v>42735</v>
      </c>
      <c r="F17" s="94" t="s">
        <v>537</v>
      </c>
      <c r="G17" s="98">
        <f t="shared" si="0"/>
        <v>0</v>
      </c>
      <c r="H17" s="99">
        <v>265999829</v>
      </c>
      <c r="I17" s="510"/>
    </row>
    <row r="18" spans="1:9" ht="20.25" customHeight="1">
      <c r="A18" s="103" t="s">
        <v>546</v>
      </c>
      <c r="B18" s="93" t="s">
        <v>517</v>
      </c>
      <c r="C18" s="94">
        <v>116039977</v>
      </c>
      <c r="D18" s="95" t="s">
        <v>547</v>
      </c>
      <c r="E18" s="96">
        <v>42583</v>
      </c>
      <c r="F18" s="94" t="s">
        <v>548</v>
      </c>
      <c r="G18" s="98">
        <f t="shared" si="0"/>
        <v>0</v>
      </c>
      <c r="H18" s="99">
        <f>SUM(C18)</f>
        <v>116039977</v>
      </c>
      <c r="I18" s="510"/>
    </row>
    <row r="19" spans="1:9" ht="20.25" customHeight="1">
      <c r="A19" s="103" t="s">
        <v>549</v>
      </c>
      <c r="B19" s="93" t="s">
        <v>517</v>
      </c>
      <c r="C19" s="94">
        <v>201899196</v>
      </c>
      <c r="D19" s="95" t="s">
        <v>547</v>
      </c>
      <c r="E19" s="96">
        <v>44809</v>
      </c>
      <c r="F19" s="104" t="s">
        <v>550</v>
      </c>
      <c r="G19" s="98">
        <f t="shared" si="0"/>
        <v>0</v>
      </c>
      <c r="H19" s="99">
        <v>201899196</v>
      </c>
      <c r="I19" s="510"/>
    </row>
    <row r="20" spans="1:9" ht="20.25" customHeight="1">
      <c r="A20" s="105" t="s">
        <v>551</v>
      </c>
      <c r="B20" s="106" t="s">
        <v>535</v>
      </c>
      <c r="C20" s="107">
        <v>235000000</v>
      </c>
      <c r="D20" s="108" t="s">
        <v>547</v>
      </c>
      <c r="E20" s="109">
        <v>42277</v>
      </c>
      <c r="F20" s="107" t="s">
        <v>552</v>
      </c>
      <c r="G20" s="110">
        <f t="shared" si="0"/>
        <v>0</v>
      </c>
      <c r="H20" s="111">
        <v>235000000</v>
      </c>
      <c r="I20" s="510"/>
    </row>
    <row r="21" spans="1:9" s="118" customFormat="1" ht="15.75">
      <c r="A21" s="112" t="s">
        <v>422</v>
      </c>
      <c r="B21" s="113"/>
      <c r="C21" s="114">
        <f>SUM(C5:C20)</f>
        <v>3038954333</v>
      </c>
      <c r="D21" s="115"/>
      <c r="E21" s="116"/>
      <c r="F21" s="113"/>
      <c r="G21" s="114">
        <f>SUM(G5:G20)</f>
        <v>746480783</v>
      </c>
      <c r="H21" s="117">
        <f>SUM(H5:H20)</f>
        <v>2292473550</v>
      </c>
      <c r="I21" s="515">
        <f>SUM(C21-G21)</f>
        <v>2292473550</v>
      </c>
    </row>
    <row r="22" spans="1:9" ht="11.25" customHeight="1">
      <c r="A22" s="119"/>
      <c r="B22" s="120"/>
      <c r="C22" s="120"/>
      <c r="D22" s="120"/>
      <c r="E22" s="120"/>
      <c r="F22" s="120"/>
      <c r="G22" s="120"/>
      <c r="H22" s="121"/>
      <c r="I22" s="510"/>
    </row>
    <row r="23" spans="1:9" ht="15.75">
      <c r="A23" s="122" t="s">
        <v>553</v>
      </c>
      <c r="B23" s="93" t="s">
        <v>517</v>
      </c>
      <c r="C23" s="98">
        <v>76000000</v>
      </c>
      <c r="D23" s="123" t="s">
        <v>518</v>
      </c>
      <c r="E23" s="124">
        <v>39436</v>
      </c>
      <c r="F23" s="97" t="s">
        <v>554</v>
      </c>
      <c r="G23" s="98">
        <f>C23-H23</f>
        <v>56392000</v>
      </c>
      <c r="H23" s="99">
        <v>19608000</v>
      </c>
      <c r="I23" s="510"/>
    </row>
    <row r="24" spans="1:9" ht="20.25" customHeight="1">
      <c r="A24" s="122" t="s">
        <v>555</v>
      </c>
      <c r="B24" s="93" t="s">
        <v>517</v>
      </c>
      <c r="C24" s="98">
        <v>47300000</v>
      </c>
      <c r="D24" s="123" t="s">
        <v>518</v>
      </c>
      <c r="E24" s="124">
        <v>39436</v>
      </c>
      <c r="F24" s="97" t="s">
        <v>554</v>
      </c>
      <c r="G24" s="98">
        <f>C24-H24</f>
        <v>34254000</v>
      </c>
      <c r="H24" s="99">
        <v>13046000</v>
      </c>
      <c r="I24" s="510"/>
    </row>
    <row r="25" spans="1:9" ht="15.75">
      <c r="A25" s="122" t="s">
        <v>556</v>
      </c>
      <c r="B25" s="93" t="s">
        <v>517</v>
      </c>
      <c r="C25" s="98">
        <v>48000000</v>
      </c>
      <c r="D25" s="123" t="s">
        <v>557</v>
      </c>
      <c r="E25" s="124">
        <v>39802</v>
      </c>
      <c r="F25" s="97" t="s">
        <v>554</v>
      </c>
      <c r="G25" s="98">
        <f>C25-H25</f>
        <v>29701000</v>
      </c>
      <c r="H25" s="99">
        <v>18299000</v>
      </c>
      <c r="I25" s="510"/>
    </row>
    <row r="26" spans="1:9" ht="18.75" customHeight="1">
      <c r="A26" s="122" t="s">
        <v>558</v>
      </c>
      <c r="B26" s="93" t="s">
        <v>517</v>
      </c>
      <c r="C26" s="98">
        <v>21700000</v>
      </c>
      <c r="D26" s="123" t="s">
        <v>559</v>
      </c>
      <c r="E26" s="124">
        <v>40167</v>
      </c>
      <c r="F26" s="97" t="s">
        <v>560</v>
      </c>
      <c r="G26" s="98">
        <f>C26-H26</f>
        <v>10710000</v>
      </c>
      <c r="H26" s="99">
        <v>10990000</v>
      </c>
      <c r="I26" s="510"/>
    </row>
    <row r="27" spans="1:9" ht="18.75" customHeight="1">
      <c r="A27" s="125" t="s">
        <v>561</v>
      </c>
      <c r="B27" s="126" t="s">
        <v>517</v>
      </c>
      <c r="C27" s="110">
        <v>93100000</v>
      </c>
      <c r="D27" s="127" t="s">
        <v>559</v>
      </c>
      <c r="E27" s="128">
        <v>40167</v>
      </c>
      <c r="F27" s="129" t="s">
        <v>560</v>
      </c>
      <c r="G27" s="110">
        <f>C27-H27</f>
        <v>56400000</v>
      </c>
      <c r="H27" s="111">
        <v>36700000</v>
      </c>
      <c r="I27" s="510"/>
    </row>
    <row r="28" spans="1:9" ht="17.25" customHeight="1">
      <c r="A28" s="130" t="s">
        <v>562</v>
      </c>
      <c r="B28" s="113"/>
      <c r="C28" s="114">
        <f>SUM(C23:C27)</f>
        <v>286100000</v>
      </c>
      <c r="D28" s="114"/>
      <c r="E28" s="114"/>
      <c r="F28" s="114"/>
      <c r="G28" s="114">
        <f>SUM(G23:G27)</f>
        <v>187457000</v>
      </c>
      <c r="H28" s="117">
        <f>SUM(H23:H27)</f>
        <v>98643000</v>
      </c>
      <c r="I28" s="515">
        <f>SUM(C28-G28)</f>
        <v>98643000</v>
      </c>
    </row>
    <row r="29" spans="1:9" ht="17.25" customHeight="1">
      <c r="A29" s="112"/>
      <c r="B29" s="131"/>
      <c r="C29" s="131"/>
      <c r="D29" s="131"/>
      <c r="E29" s="131"/>
      <c r="F29" s="131"/>
      <c r="G29" s="131"/>
      <c r="H29" s="132"/>
      <c r="I29" s="515"/>
    </row>
    <row r="30" spans="1:9" ht="17.25" customHeight="1">
      <c r="A30" s="112" t="s">
        <v>563</v>
      </c>
      <c r="B30" s="114"/>
      <c r="C30" s="114">
        <f>SUM(C21+C28)</f>
        <v>3325054333</v>
      </c>
      <c r="D30" s="114"/>
      <c r="E30" s="114"/>
      <c r="F30" s="114"/>
      <c r="G30" s="114">
        <f>SUM(G21+G28)</f>
        <v>933937783</v>
      </c>
      <c r="H30" s="117">
        <f>SUM(H21+H28)</f>
        <v>2391116550</v>
      </c>
      <c r="I30" s="515">
        <f>SUM(C30-G30)</f>
        <v>2391116550</v>
      </c>
    </row>
    <row r="31" spans="1:9" ht="17.25" customHeight="1">
      <c r="A31" s="119"/>
      <c r="B31" s="120"/>
      <c r="C31" s="120"/>
      <c r="D31" s="120"/>
      <c r="E31" s="120"/>
      <c r="F31" s="120"/>
      <c r="G31" s="120"/>
      <c r="H31" s="121"/>
      <c r="I31" s="510"/>
    </row>
    <row r="32" spans="1:9" ht="15.75">
      <c r="A32" s="125" t="s">
        <v>564</v>
      </c>
      <c r="B32" s="126" t="s">
        <v>517</v>
      </c>
      <c r="C32" s="110">
        <v>1500000000</v>
      </c>
      <c r="D32" s="127" t="s">
        <v>565</v>
      </c>
      <c r="E32" s="127">
        <v>39232</v>
      </c>
      <c r="F32" s="110" t="s">
        <v>566</v>
      </c>
      <c r="G32" s="110">
        <v>119258389</v>
      </c>
      <c r="H32" s="111">
        <f>SUM(C32-G32)</f>
        <v>1380741611</v>
      </c>
      <c r="I32" s="510"/>
    </row>
    <row r="33" spans="1:9" ht="15.75">
      <c r="A33" s="130" t="s">
        <v>567</v>
      </c>
      <c r="B33" s="113"/>
      <c r="C33" s="114">
        <f>SUM(C32:C32)</f>
        <v>1500000000</v>
      </c>
      <c r="D33" s="114"/>
      <c r="E33" s="114"/>
      <c r="F33" s="114"/>
      <c r="G33" s="114">
        <f>SUM(G32)</f>
        <v>119258389</v>
      </c>
      <c r="H33" s="117">
        <v>1380741611</v>
      </c>
      <c r="I33" s="515">
        <f>SUM(C33-G33)</f>
        <v>1380741611</v>
      </c>
    </row>
    <row r="34" spans="1:9" ht="15.75">
      <c r="A34" s="133"/>
      <c r="B34" s="134"/>
      <c r="C34" s="134"/>
      <c r="D34" s="134"/>
      <c r="E34" s="134"/>
      <c r="F34" s="134"/>
      <c r="G34" s="134"/>
      <c r="H34" s="135"/>
      <c r="I34" s="510"/>
    </row>
    <row r="35" spans="1:9" ht="15.75">
      <c r="A35" s="125" t="s">
        <v>568</v>
      </c>
      <c r="B35" s="136" t="s">
        <v>517</v>
      </c>
      <c r="C35" s="110">
        <v>29474399</v>
      </c>
      <c r="D35" s="127" t="s">
        <v>521</v>
      </c>
      <c r="E35" s="127">
        <v>39021</v>
      </c>
      <c r="F35" s="127" t="s">
        <v>569</v>
      </c>
      <c r="G35" s="110">
        <f>C35-H35</f>
        <v>27018200</v>
      </c>
      <c r="H35" s="111">
        <v>2456199</v>
      </c>
      <c r="I35" s="510"/>
    </row>
    <row r="36" spans="1:9" ht="15.75">
      <c r="A36" s="130" t="s">
        <v>570</v>
      </c>
      <c r="B36" s="113"/>
      <c r="C36" s="114">
        <f>SUM(C35:C35)</f>
        <v>29474399</v>
      </c>
      <c r="D36" s="114"/>
      <c r="E36" s="114"/>
      <c r="F36" s="114"/>
      <c r="G36" s="114">
        <f>SUM(G35:G35)</f>
        <v>27018200</v>
      </c>
      <c r="H36" s="117">
        <f>SUM(H35:H35)</f>
        <v>2456199</v>
      </c>
      <c r="I36" s="515">
        <f>SUM(C36-G36)</f>
        <v>2456199</v>
      </c>
    </row>
    <row r="37" spans="1:9" ht="11.25" customHeight="1">
      <c r="A37" s="1331"/>
      <c r="B37" s="1332"/>
      <c r="C37" s="1332"/>
      <c r="D37" s="1332"/>
      <c r="E37" s="1332"/>
      <c r="F37" s="1332"/>
      <c r="G37" s="1332"/>
      <c r="H37" s="1333"/>
      <c r="I37" s="510">
        <f>SUM(I30+I33+I36)</f>
        <v>3774314360</v>
      </c>
    </row>
    <row r="38" spans="1:9" ht="19.5" thickBot="1">
      <c r="A38" s="137" t="s">
        <v>452</v>
      </c>
      <c r="B38" s="138"/>
      <c r="C38" s="139">
        <f>SUM(C21+C28+C33+C36)</f>
        <v>4854528732</v>
      </c>
      <c r="D38" s="139"/>
      <c r="E38" s="139"/>
      <c r="F38" s="139"/>
      <c r="G38" s="139">
        <f>SUM(G21+G28+G33+G36)</f>
        <v>1080214372</v>
      </c>
      <c r="H38" s="140">
        <f>SUM(H21+H28+H33+H36)</f>
        <v>3774314360</v>
      </c>
      <c r="I38" s="515">
        <f>SUM(C38-G38)</f>
        <v>3774314360</v>
      </c>
    </row>
    <row r="39" ht="25.5" customHeight="1" thickTop="1">
      <c r="A39" s="87" t="s">
        <v>571</v>
      </c>
    </row>
    <row r="40" ht="15.75">
      <c r="A40" s="141"/>
    </row>
  </sheetData>
  <mergeCells count="2">
    <mergeCell ref="A37:H37"/>
    <mergeCell ref="A2:H2"/>
  </mergeCells>
  <printOptions/>
  <pageMargins left="0.96" right="0.44" top="0.32" bottom="0.29" header="0.34" footer="0.34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19"/>
  <sheetViews>
    <sheetView workbookViewId="0" topLeftCell="A1">
      <selection activeCell="F28" sqref="F28"/>
    </sheetView>
  </sheetViews>
  <sheetFormatPr defaultColWidth="9.140625" defaultRowHeight="12.75"/>
  <cols>
    <col min="1" max="1" width="4.00390625" style="150" customWidth="1"/>
    <col min="2" max="3" width="9.140625" style="150" customWidth="1"/>
    <col min="4" max="4" width="10.140625" style="150" customWidth="1"/>
    <col min="5" max="5" width="5.57421875" style="150" customWidth="1"/>
    <col min="6" max="12" width="10.8515625" style="150" bestFit="1" customWidth="1"/>
    <col min="13" max="13" width="10.7109375" style="150" bestFit="1" customWidth="1"/>
    <col min="14" max="14" width="12.7109375" style="150" bestFit="1" customWidth="1"/>
    <col min="15" max="16384" width="9.140625" style="150" customWidth="1"/>
  </cols>
  <sheetData>
    <row r="1" ht="12.75">
      <c r="M1" s="435" t="s">
        <v>231</v>
      </c>
    </row>
    <row r="4" spans="1:14" ht="12.75">
      <c r="A4" s="147"/>
      <c r="B4" s="147"/>
      <c r="C4" s="1336" t="s">
        <v>576</v>
      </c>
      <c r="D4" s="1336"/>
      <c r="E4" s="1336"/>
      <c r="F4" s="1337"/>
      <c r="G4" s="1336"/>
      <c r="H4" s="1336"/>
      <c r="I4" s="1336"/>
      <c r="J4" s="1336"/>
      <c r="K4" s="1336"/>
      <c r="L4" s="1336"/>
      <c r="M4" s="147"/>
      <c r="N4" s="147"/>
    </row>
    <row r="5" spans="1:14" ht="12.75">
      <c r="A5" s="147"/>
      <c r="B5" s="147"/>
      <c r="C5" s="148"/>
      <c r="D5" s="148"/>
      <c r="E5" s="148"/>
      <c r="F5" s="149"/>
      <c r="G5" s="148"/>
      <c r="H5" s="148"/>
      <c r="I5" s="148"/>
      <c r="J5" s="148"/>
      <c r="K5" s="148"/>
      <c r="L5" s="148"/>
      <c r="M5" s="147"/>
      <c r="N5" s="147"/>
    </row>
    <row r="6" spans="1:14" ht="12.75">
      <c r="A6" s="147"/>
      <c r="B6" s="147"/>
      <c r="C6" s="148"/>
      <c r="D6" s="148"/>
      <c r="E6" s="148"/>
      <c r="F6" s="149"/>
      <c r="G6" s="148"/>
      <c r="H6" s="148"/>
      <c r="I6" s="148"/>
      <c r="J6" s="148"/>
      <c r="K6" s="148"/>
      <c r="L6" s="148"/>
      <c r="M6" s="147"/>
      <c r="N6" s="147"/>
    </row>
    <row r="7" spans="1:14" ht="12.75">
      <c r="A7" s="147"/>
      <c r="B7" s="147"/>
      <c r="C7" s="148"/>
      <c r="D7" s="148"/>
      <c r="E7" s="148"/>
      <c r="F7" s="149"/>
      <c r="G7" s="148"/>
      <c r="H7" s="148"/>
      <c r="I7" s="148"/>
      <c r="J7" s="148"/>
      <c r="K7" s="148"/>
      <c r="L7" s="148"/>
      <c r="M7" s="147"/>
      <c r="N7" s="147"/>
    </row>
    <row r="8" spans="1:14" ht="12.75">
      <c r="A8" s="147"/>
      <c r="B8" s="147"/>
      <c r="C8" s="148"/>
      <c r="D8" s="148"/>
      <c r="E8" s="148"/>
      <c r="F8" s="149"/>
      <c r="G8" s="148"/>
      <c r="H8" s="148"/>
      <c r="I8" s="148"/>
      <c r="J8" s="148"/>
      <c r="K8" s="148"/>
      <c r="L8" s="148"/>
      <c r="M8" s="147"/>
      <c r="N8" s="147"/>
    </row>
    <row r="9" spans="1:14" ht="13.5" thickBo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 t="s">
        <v>577</v>
      </c>
      <c r="N9" s="147"/>
    </row>
    <row r="10" spans="1:14" ht="13.5" thickTop="1">
      <c r="A10" s="147"/>
      <c r="B10" s="1340" t="s">
        <v>441</v>
      </c>
      <c r="C10" s="1341"/>
      <c r="D10" s="1341"/>
      <c r="E10" s="1342"/>
      <c r="F10" s="439">
        <v>1998</v>
      </c>
      <c r="G10" s="417">
        <v>1999</v>
      </c>
      <c r="H10" s="416">
        <v>2000</v>
      </c>
      <c r="I10" s="417">
        <v>2001</v>
      </c>
      <c r="J10" s="416">
        <v>2002</v>
      </c>
      <c r="K10" s="417">
        <v>2003</v>
      </c>
      <c r="L10" s="416">
        <v>2004</v>
      </c>
      <c r="M10" s="418">
        <v>2005</v>
      </c>
      <c r="N10" s="147"/>
    </row>
    <row r="11" spans="1:14" ht="12.75">
      <c r="A11" s="147"/>
      <c r="B11" s="1338" t="s">
        <v>578</v>
      </c>
      <c r="C11" s="1339"/>
      <c r="D11" s="1339"/>
      <c r="E11" s="406"/>
      <c r="F11" s="440">
        <v>13157072</v>
      </c>
      <c r="G11" s="412">
        <v>13953211</v>
      </c>
      <c r="H11" s="412">
        <v>15058042</v>
      </c>
      <c r="I11" s="412">
        <v>19296726</v>
      </c>
      <c r="J11" s="412">
        <v>21110161</v>
      </c>
      <c r="K11" s="412">
        <v>61728719</v>
      </c>
      <c r="L11" s="412">
        <v>65329660</v>
      </c>
      <c r="M11" s="419">
        <v>67053091</v>
      </c>
      <c r="N11" s="147"/>
    </row>
    <row r="12" spans="1:14" ht="12.75">
      <c r="A12" s="147"/>
      <c r="B12" s="420"/>
      <c r="C12" s="413"/>
      <c r="D12" s="413"/>
      <c r="E12" s="405"/>
      <c r="F12" s="441"/>
      <c r="G12" s="414"/>
      <c r="H12" s="414"/>
      <c r="I12" s="414"/>
      <c r="J12" s="414"/>
      <c r="K12" s="414"/>
      <c r="L12" s="414"/>
      <c r="M12" s="421"/>
      <c r="N12" s="147"/>
    </row>
    <row r="13" spans="1:14" ht="12.75">
      <c r="A13" s="147"/>
      <c r="B13" s="422" t="s">
        <v>579</v>
      </c>
      <c r="C13" s="403"/>
      <c r="D13" s="403"/>
      <c r="E13" s="404"/>
      <c r="F13" s="442"/>
      <c r="G13" s="415"/>
      <c r="H13" s="415"/>
      <c r="I13" s="415"/>
      <c r="J13" s="415"/>
      <c r="K13" s="415"/>
      <c r="L13" s="415"/>
      <c r="M13" s="423"/>
      <c r="N13" s="147"/>
    </row>
    <row r="14" spans="1:14" ht="12.75">
      <c r="A14" s="151"/>
      <c r="B14" s="446" t="s">
        <v>580</v>
      </c>
      <c r="C14" s="437"/>
      <c r="D14" s="437"/>
      <c r="E14" s="445"/>
      <c r="F14" s="436">
        <v>343766</v>
      </c>
      <c r="G14" s="410">
        <v>73583</v>
      </c>
      <c r="H14" s="410">
        <v>65657</v>
      </c>
      <c r="I14" s="410">
        <v>60983</v>
      </c>
      <c r="J14" s="410">
        <v>203705</v>
      </c>
      <c r="K14" s="410">
        <f>44606+116661</f>
        <v>161267</v>
      </c>
      <c r="L14" s="410">
        <f>36118+98037</f>
        <v>134155</v>
      </c>
      <c r="M14" s="425">
        <f>88133+77579</f>
        <v>165712</v>
      </c>
      <c r="N14" s="147"/>
    </row>
    <row r="15" spans="1:14" ht="12.75">
      <c r="A15" s="148"/>
      <c r="B15" s="426" t="s">
        <v>581</v>
      </c>
      <c r="C15" s="401"/>
      <c r="D15" s="401"/>
      <c r="E15" s="402"/>
      <c r="F15" s="438">
        <v>436054</v>
      </c>
      <c r="G15" s="411">
        <v>705887</v>
      </c>
      <c r="H15" s="411">
        <v>723973</v>
      </c>
      <c r="I15" s="411">
        <v>926281</v>
      </c>
      <c r="J15" s="411">
        <v>516991</v>
      </c>
      <c r="K15" s="411">
        <v>477516</v>
      </c>
      <c r="L15" s="411">
        <v>879296</v>
      </c>
      <c r="M15" s="427">
        <v>479110</v>
      </c>
      <c r="N15" s="147"/>
    </row>
    <row r="16" spans="1:14" ht="12.75">
      <c r="A16" s="148"/>
      <c r="B16" s="446" t="s">
        <v>582</v>
      </c>
      <c r="C16" s="437"/>
      <c r="D16" s="437"/>
      <c r="E16" s="445"/>
      <c r="F16" s="436">
        <v>140912</v>
      </c>
      <c r="G16" s="410">
        <v>393110</v>
      </c>
      <c r="H16" s="410">
        <v>358062</v>
      </c>
      <c r="I16" s="410">
        <v>530180</v>
      </c>
      <c r="J16" s="410">
        <v>135365</v>
      </c>
      <c r="K16" s="410">
        <v>114074</v>
      </c>
      <c r="L16" s="410">
        <v>92441</v>
      </c>
      <c r="M16" s="425">
        <v>123750</v>
      </c>
      <c r="N16" s="147"/>
    </row>
    <row r="17" spans="1:14" ht="12.75">
      <c r="A17" s="152"/>
      <c r="B17" s="424" t="s">
        <v>583</v>
      </c>
      <c r="C17" s="401"/>
      <c r="D17" s="401"/>
      <c r="E17" s="402"/>
      <c r="F17" s="436"/>
      <c r="G17" s="410"/>
      <c r="H17" s="410"/>
      <c r="I17" s="410"/>
      <c r="J17" s="410">
        <v>112442</v>
      </c>
      <c r="K17" s="410">
        <v>126661</v>
      </c>
      <c r="L17" s="410">
        <v>173608</v>
      </c>
      <c r="M17" s="425">
        <v>240840</v>
      </c>
      <c r="N17" s="147"/>
    </row>
    <row r="18" spans="1:14" ht="12.75">
      <c r="A18" s="152"/>
      <c r="B18" s="450"/>
      <c r="C18" s="451"/>
      <c r="D18" s="451"/>
      <c r="E18" s="452"/>
      <c r="F18" s="453"/>
      <c r="G18" s="454"/>
      <c r="H18" s="454"/>
      <c r="I18" s="454"/>
      <c r="J18" s="454"/>
      <c r="K18" s="454"/>
      <c r="L18" s="454"/>
      <c r="M18" s="455"/>
      <c r="N18" s="147"/>
    </row>
    <row r="19" spans="1:14" ht="12.75">
      <c r="A19" s="152"/>
      <c r="B19" s="422" t="s">
        <v>191</v>
      </c>
      <c r="C19" s="403"/>
      <c r="D19" s="403"/>
      <c r="E19" s="404"/>
      <c r="F19" s="442"/>
      <c r="G19" s="415"/>
      <c r="H19" s="415"/>
      <c r="I19" s="415"/>
      <c r="J19" s="415"/>
      <c r="K19" s="415"/>
      <c r="L19" s="415"/>
      <c r="M19" s="423"/>
      <c r="N19" s="147"/>
    </row>
    <row r="20" spans="1:14" ht="12.75">
      <c r="A20" s="153"/>
      <c r="B20" s="447" t="s">
        <v>584</v>
      </c>
      <c r="C20" s="437"/>
      <c r="D20" s="437"/>
      <c r="E20" s="445"/>
      <c r="F20" s="438">
        <v>1248228</v>
      </c>
      <c r="G20" s="411">
        <v>795083</v>
      </c>
      <c r="H20" s="411">
        <v>787180</v>
      </c>
      <c r="I20" s="411">
        <v>927479</v>
      </c>
      <c r="J20" s="411">
        <v>1183699</v>
      </c>
      <c r="K20" s="411">
        <v>1176824</v>
      </c>
      <c r="L20" s="411">
        <v>1511915</v>
      </c>
      <c r="M20" s="427">
        <v>2346895</v>
      </c>
      <c r="N20" s="147"/>
    </row>
    <row r="21" spans="1:14" ht="12.75">
      <c r="A21" s="147"/>
      <c r="B21" s="424" t="s">
        <v>585</v>
      </c>
      <c r="C21" s="401"/>
      <c r="D21" s="401" t="s">
        <v>586</v>
      </c>
      <c r="E21" s="402"/>
      <c r="F21" s="436">
        <v>906271</v>
      </c>
      <c r="G21" s="410">
        <v>736076</v>
      </c>
      <c r="H21" s="410">
        <v>582337</v>
      </c>
      <c r="I21" s="410">
        <v>608123</v>
      </c>
      <c r="J21" s="410">
        <v>997328</v>
      </c>
      <c r="K21" s="410">
        <v>1093779</v>
      </c>
      <c r="L21" s="410">
        <v>1496657</v>
      </c>
      <c r="M21" s="425">
        <v>2342332</v>
      </c>
      <c r="N21" s="147"/>
    </row>
    <row r="22" spans="1:14" ht="12.75">
      <c r="A22" s="147"/>
      <c r="B22" s="446" t="s">
        <v>587</v>
      </c>
      <c r="C22" s="437"/>
      <c r="D22" s="437" t="s">
        <v>588</v>
      </c>
      <c r="E22" s="445" t="s">
        <v>589</v>
      </c>
      <c r="F22" s="436">
        <v>285950</v>
      </c>
      <c r="G22" s="410"/>
      <c r="H22" s="410">
        <v>175700</v>
      </c>
      <c r="I22" s="410">
        <v>280724</v>
      </c>
      <c r="J22" s="410">
        <v>164417</v>
      </c>
      <c r="K22" s="410">
        <v>76110</v>
      </c>
      <c r="L22" s="410">
        <v>9825</v>
      </c>
      <c r="M22" s="425">
        <v>0</v>
      </c>
      <c r="N22" s="147"/>
    </row>
    <row r="23" spans="1:14" ht="12.75">
      <c r="A23" s="147"/>
      <c r="B23" s="428"/>
      <c r="C23" s="407"/>
      <c r="D23" s="407"/>
      <c r="E23" s="408"/>
      <c r="F23" s="443"/>
      <c r="G23" s="409"/>
      <c r="H23" s="409"/>
      <c r="I23" s="409"/>
      <c r="J23" s="409"/>
      <c r="K23" s="409"/>
      <c r="L23" s="409"/>
      <c r="M23" s="429"/>
      <c r="N23" s="147"/>
    </row>
    <row r="24" spans="1:14" ht="12.75">
      <c r="A24" s="147"/>
      <c r="B24" s="447" t="s">
        <v>590</v>
      </c>
      <c r="C24" s="437"/>
      <c r="D24" s="437"/>
      <c r="E24" s="445"/>
      <c r="F24" s="438">
        <v>1045517</v>
      </c>
      <c r="G24" s="411">
        <v>1759406</v>
      </c>
      <c r="H24" s="411">
        <v>1761422</v>
      </c>
      <c r="I24" s="411">
        <v>2414842</v>
      </c>
      <c r="J24" s="411">
        <v>1923457</v>
      </c>
      <c r="K24" s="411">
        <v>1813917</v>
      </c>
      <c r="L24" s="411">
        <v>2748324</v>
      </c>
      <c r="M24" s="427">
        <v>2829688</v>
      </c>
      <c r="N24" s="147"/>
    </row>
    <row r="25" spans="1:14" ht="12.75">
      <c r="A25" s="147"/>
      <c r="B25" s="428" t="s">
        <v>591</v>
      </c>
      <c r="C25" s="401"/>
      <c r="D25" s="401" t="s">
        <v>592</v>
      </c>
      <c r="E25" s="402"/>
      <c r="F25" s="436">
        <v>416247</v>
      </c>
      <c r="G25" s="410">
        <v>438517</v>
      </c>
      <c r="H25" s="410">
        <v>277854</v>
      </c>
      <c r="I25" s="410">
        <v>287329</v>
      </c>
      <c r="J25" s="410">
        <v>281634</v>
      </c>
      <c r="K25" s="410">
        <v>381972</v>
      </c>
      <c r="L25" s="410">
        <v>1241718</v>
      </c>
      <c r="M25" s="425">
        <v>1370556</v>
      </c>
      <c r="N25" s="147"/>
    </row>
    <row r="26" spans="1:14" ht="12.75">
      <c r="A26" s="147"/>
      <c r="B26" s="448"/>
      <c r="C26" s="437"/>
      <c r="D26" s="437" t="s">
        <v>586</v>
      </c>
      <c r="E26" s="445"/>
      <c r="F26" s="436">
        <v>459000</v>
      </c>
      <c r="G26" s="410">
        <v>846045</v>
      </c>
      <c r="H26" s="410">
        <v>1225472</v>
      </c>
      <c r="I26" s="410">
        <v>1225611</v>
      </c>
      <c r="J26" s="410">
        <v>969637</v>
      </c>
      <c r="K26" s="410">
        <v>585000</v>
      </c>
      <c r="L26" s="410">
        <v>530000</v>
      </c>
      <c r="M26" s="425">
        <v>551000</v>
      </c>
      <c r="N26" s="147"/>
    </row>
    <row r="27" spans="1:14" ht="13.5" thickBot="1">
      <c r="A27" s="147"/>
      <c r="B27" s="430"/>
      <c r="C27" s="431" t="s">
        <v>593</v>
      </c>
      <c r="D27" s="431" t="s">
        <v>594</v>
      </c>
      <c r="E27" s="449"/>
      <c r="F27" s="444">
        <f>135469+443</f>
        <v>135912</v>
      </c>
      <c r="G27" s="432">
        <f>166085+287450</f>
        <v>453535</v>
      </c>
      <c r="H27" s="432">
        <f>166957+28455</f>
        <v>195412</v>
      </c>
      <c r="I27" s="432">
        <f>208209+59654</f>
        <v>267863</v>
      </c>
      <c r="J27" s="432">
        <f>70918+116307</f>
        <v>187225</v>
      </c>
      <c r="K27" s="432">
        <f>206628+122844</f>
        <v>329472</v>
      </c>
      <c r="L27" s="432">
        <f>121668+264544+376</f>
        <v>386588</v>
      </c>
      <c r="M27" s="433">
        <f>9825+187847+793</f>
        <v>198465</v>
      </c>
      <c r="N27" s="147"/>
    </row>
    <row r="28" spans="1:14" ht="13.5" thickTop="1">
      <c r="A28" s="147"/>
      <c r="B28" s="154"/>
      <c r="C28" s="154"/>
      <c r="D28" s="154"/>
      <c r="E28" s="154"/>
      <c r="F28" s="155"/>
      <c r="G28" s="155"/>
      <c r="H28" s="155"/>
      <c r="I28" s="155"/>
      <c r="J28" s="155"/>
      <c r="K28" s="155"/>
      <c r="L28" s="155"/>
      <c r="M28" s="155"/>
      <c r="N28" s="147"/>
    </row>
    <row r="29" spans="1:14" ht="12.75">
      <c r="A29" s="147"/>
      <c r="B29" s="154"/>
      <c r="C29" s="154"/>
      <c r="D29" s="154"/>
      <c r="E29" s="154"/>
      <c r="F29" s="155"/>
      <c r="G29" s="155"/>
      <c r="H29" s="155"/>
      <c r="I29" s="155"/>
      <c r="J29" s="155"/>
      <c r="K29" s="155"/>
      <c r="L29" s="155"/>
      <c r="M29" s="155"/>
      <c r="N29" s="147"/>
    </row>
    <row r="30" spans="1:14" ht="12.75">
      <c r="A30" s="147"/>
      <c r="B30" s="154"/>
      <c r="C30" s="154"/>
      <c r="D30" s="154"/>
      <c r="E30" s="154"/>
      <c r="F30" s="155"/>
      <c r="G30" s="507" t="s">
        <v>431</v>
      </c>
      <c r="H30" s="155"/>
      <c r="I30" s="155"/>
      <c r="J30" s="155"/>
      <c r="K30" s="155"/>
      <c r="L30" s="155"/>
      <c r="M30" s="155"/>
      <c r="N30" s="147"/>
    </row>
    <row r="31" spans="1:14" ht="12.75">
      <c r="A31" s="147"/>
      <c r="B31" s="154"/>
      <c r="C31" s="154"/>
      <c r="D31" s="154"/>
      <c r="E31" s="154"/>
      <c r="F31" s="155"/>
      <c r="G31" s="155"/>
      <c r="H31" s="155"/>
      <c r="I31" s="155"/>
      <c r="J31" s="155"/>
      <c r="K31" s="155"/>
      <c r="L31" s="155"/>
      <c r="M31" s="155"/>
      <c r="N31" s="147"/>
    </row>
    <row r="32" spans="1:14" ht="12.75">
      <c r="A32" s="147"/>
      <c r="B32" s="1335"/>
      <c r="C32" s="1335"/>
      <c r="D32" s="1335"/>
      <c r="E32" s="1335"/>
      <c r="F32" s="155">
        <f>F10</f>
        <v>1998</v>
      </c>
      <c r="G32" s="155">
        <f aca="true" t="shared" si="0" ref="G32:M32">G10</f>
        <v>1999</v>
      </c>
      <c r="H32" s="155">
        <f t="shared" si="0"/>
        <v>2000</v>
      </c>
      <c r="I32" s="155">
        <f t="shared" si="0"/>
        <v>2001</v>
      </c>
      <c r="J32" s="155">
        <f t="shared" si="0"/>
        <v>2002</v>
      </c>
      <c r="K32" s="155">
        <f t="shared" si="0"/>
        <v>2003</v>
      </c>
      <c r="L32" s="155">
        <f t="shared" si="0"/>
        <v>2004</v>
      </c>
      <c r="M32" s="155">
        <f t="shared" si="0"/>
        <v>2005</v>
      </c>
      <c r="N32" s="518">
        <v>38990</v>
      </c>
    </row>
    <row r="33" spans="1:14" ht="12.75">
      <c r="A33" s="147"/>
      <c r="B33" s="434" t="s">
        <v>193</v>
      </c>
      <c r="F33" s="156">
        <f>F21+F27+F22</f>
        <v>1328133</v>
      </c>
      <c r="G33" s="156">
        <f aca="true" t="shared" si="1" ref="G33:M33">G21+G27+G22</f>
        <v>1189611</v>
      </c>
      <c r="H33" s="156">
        <f t="shared" si="1"/>
        <v>953449</v>
      </c>
      <c r="I33" s="156">
        <f t="shared" si="1"/>
        <v>1156710</v>
      </c>
      <c r="J33" s="156">
        <f t="shared" si="1"/>
        <v>1348970</v>
      </c>
      <c r="K33" s="156">
        <f t="shared" si="1"/>
        <v>1499361</v>
      </c>
      <c r="L33" s="156">
        <f t="shared" si="1"/>
        <v>1893070</v>
      </c>
      <c r="M33" s="156">
        <f t="shared" si="1"/>
        <v>2540797</v>
      </c>
      <c r="N33" s="155">
        <f>('6a Hitelállomány'!H30+'6a Hitelállomány'!H36)/1000</f>
        <v>2393572.749</v>
      </c>
    </row>
    <row r="34" spans="2:14" ht="12.75">
      <c r="B34" s="434" t="s">
        <v>192</v>
      </c>
      <c r="F34" s="156">
        <f>F26</f>
        <v>459000</v>
      </c>
      <c r="G34" s="156">
        <f aca="true" t="shared" si="2" ref="G34:M34">G26</f>
        <v>846045</v>
      </c>
      <c r="H34" s="156">
        <f t="shared" si="2"/>
        <v>1225472</v>
      </c>
      <c r="I34" s="156">
        <f t="shared" si="2"/>
        <v>1225611</v>
      </c>
      <c r="J34" s="156">
        <f t="shared" si="2"/>
        <v>969637</v>
      </c>
      <c r="K34" s="156">
        <f t="shared" si="2"/>
        <v>585000</v>
      </c>
      <c r="L34" s="156">
        <f t="shared" si="2"/>
        <v>530000</v>
      </c>
      <c r="M34" s="156">
        <f t="shared" si="2"/>
        <v>551000</v>
      </c>
      <c r="N34" s="156">
        <f>'6a Hitelállomány'!H33/1000</f>
        <v>1380741.611</v>
      </c>
    </row>
    <row r="35" spans="2:14" ht="12.75">
      <c r="B35" s="434" t="s">
        <v>422</v>
      </c>
      <c r="F35" s="156">
        <f>SUM(F33:F34)</f>
        <v>1787133</v>
      </c>
      <c r="G35" s="156">
        <f aca="true" t="shared" si="3" ref="G35:M35">SUM(G33:G34)</f>
        <v>2035656</v>
      </c>
      <c r="H35" s="156">
        <f t="shared" si="3"/>
        <v>2178921</v>
      </c>
      <c r="I35" s="156">
        <f t="shared" si="3"/>
        <v>2382321</v>
      </c>
      <c r="J35" s="156">
        <f t="shared" si="3"/>
        <v>2318607</v>
      </c>
      <c r="K35" s="156">
        <f t="shared" si="3"/>
        <v>2084361</v>
      </c>
      <c r="L35" s="156">
        <f t="shared" si="3"/>
        <v>2423070</v>
      </c>
      <c r="M35" s="156">
        <f t="shared" si="3"/>
        <v>3091797</v>
      </c>
      <c r="N35" s="156">
        <f>SUM(N33:N34)</f>
        <v>3774314.36</v>
      </c>
    </row>
    <row r="36" spans="2:14" ht="12.75">
      <c r="B36" s="434"/>
      <c r="F36" s="156"/>
      <c r="G36" s="156"/>
      <c r="H36" s="156"/>
      <c r="I36" s="156"/>
      <c r="J36" s="156"/>
      <c r="K36" s="156"/>
      <c r="L36" s="156"/>
      <c r="M36" s="156"/>
      <c r="N36" s="156"/>
    </row>
    <row r="37" spans="2:14" ht="12.75">
      <c r="B37" s="434"/>
      <c r="F37" s="156"/>
      <c r="G37" s="156"/>
      <c r="H37" s="156"/>
      <c r="I37" s="156"/>
      <c r="J37" s="156"/>
      <c r="K37" s="156"/>
      <c r="L37" s="156"/>
      <c r="M37" s="156"/>
      <c r="N37" s="156"/>
    </row>
    <row r="38" spans="6:14" ht="12.75">
      <c r="F38" s="156">
        <f>F32</f>
        <v>1998</v>
      </c>
      <c r="G38" s="156">
        <f aca="true" t="shared" si="4" ref="G38:M38">G32</f>
        <v>1999</v>
      </c>
      <c r="H38" s="156">
        <f t="shared" si="4"/>
        <v>2000</v>
      </c>
      <c r="I38" s="156">
        <f t="shared" si="4"/>
        <v>2001</v>
      </c>
      <c r="J38" s="156">
        <f t="shared" si="4"/>
        <v>2002</v>
      </c>
      <c r="K38" s="156">
        <f t="shared" si="4"/>
        <v>2003</v>
      </c>
      <c r="L38" s="156">
        <f t="shared" si="4"/>
        <v>2004</v>
      </c>
      <c r="M38" s="156">
        <f t="shared" si="4"/>
        <v>2005</v>
      </c>
      <c r="N38" s="156"/>
    </row>
    <row r="39" spans="2:14" ht="12.75">
      <c r="B39" s="434" t="s">
        <v>194</v>
      </c>
      <c r="F39" s="156">
        <f>F25</f>
        <v>416247</v>
      </c>
      <c r="G39" s="156">
        <f aca="true" t="shared" si="5" ref="G39:M39">G25</f>
        <v>438517</v>
      </c>
      <c r="H39" s="156">
        <f t="shared" si="5"/>
        <v>277854</v>
      </c>
      <c r="I39" s="156">
        <f t="shared" si="5"/>
        <v>287329</v>
      </c>
      <c r="J39" s="156">
        <f t="shared" si="5"/>
        <v>281634</v>
      </c>
      <c r="K39" s="156">
        <f t="shared" si="5"/>
        <v>381972</v>
      </c>
      <c r="L39" s="156">
        <f t="shared" si="5"/>
        <v>1241718</v>
      </c>
      <c r="M39" s="156">
        <f t="shared" si="5"/>
        <v>1370556</v>
      </c>
      <c r="N39" s="156"/>
    </row>
    <row r="85" ht="13.5" thickBot="1"/>
    <row r="86" spans="6:13" ht="13.5" thickTop="1">
      <c r="F86" s="439">
        <v>1998</v>
      </c>
      <c r="G86" s="417">
        <v>1999</v>
      </c>
      <c r="H86" s="416">
        <v>2000</v>
      </c>
      <c r="I86" s="417">
        <v>2001</v>
      </c>
      <c r="J86" s="416">
        <v>2002</v>
      </c>
      <c r="K86" s="417">
        <v>2003</v>
      </c>
      <c r="L86" s="416">
        <v>2004</v>
      </c>
      <c r="M86" s="418">
        <v>2005</v>
      </c>
    </row>
    <row r="87" spans="2:13" ht="12.75">
      <c r="B87" s="446" t="s">
        <v>338</v>
      </c>
      <c r="C87" s="437"/>
      <c r="D87" s="437"/>
      <c r="E87" s="445"/>
      <c r="F87" s="436">
        <v>343766</v>
      </c>
      <c r="G87" s="410">
        <v>73583</v>
      </c>
      <c r="H87" s="410">
        <v>65657</v>
      </c>
      <c r="I87" s="410">
        <v>60983</v>
      </c>
      <c r="J87" s="410">
        <v>203705</v>
      </c>
      <c r="K87" s="410">
        <f>44606+116661</f>
        <v>161267</v>
      </c>
      <c r="L87" s="410">
        <f>36118+98037</f>
        <v>134155</v>
      </c>
      <c r="M87" s="425">
        <f>88133+77579</f>
        <v>165712</v>
      </c>
    </row>
    <row r="88" spans="2:13" ht="12.75">
      <c r="B88" s="426" t="s">
        <v>581</v>
      </c>
      <c r="C88" s="401"/>
      <c r="D88" s="401"/>
      <c r="E88" s="402"/>
      <c r="F88" s="438">
        <v>436054</v>
      </c>
      <c r="G88" s="411">
        <v>705887</v>
      </c>
      <c r="H88" s="411">
        <v>723973</v>
      </c>
      <c r="I88" s="411">
        <v>926281</v>
      </c>
      <c r="J88" s="411">
        <v>516991</v>
      </c>
      <c r="K88" s="411">
        <v>477516</v>
      </c>
      <c r="L88" s="411">
        <v>879296</v>
      </c>
      <c r="M88" s="427">
        <v>479110</v>
      </c>
    </row>
    <row r="89" spans="2:13" ht="12.75">
      <c r="B89" s="434" t="s">
        <v>422</v>
      </c>
      <c r="F89" s="156">
        <f>SUM(F87:F88)</f>
        <v>779820</v>
      </c>
      <c r="G89" s="156">
        <f aca="true" t="shared" si="6" ref="G89:M89">SUM(G87:G88)</f>
        <v>779470</v>
      </c>
      <c r="H89" s="156">
        <f t="shared" si="6"/>
        <v>789630</v>
      </c>
      <c r="I89" s="156">
        <f t="shared" si="6"/>
        <v>987264</v>
      </c>
      <c r="J89" s="156">
        <f t="shared" si="6"/>
        <v>720696</v>
      </c>
      <c r="K89" s="156">
        <f t="shared" si="6"/>
        <v>638783</v>
      </c>
      <c r="L89" s="156">
        <f t="shared" si="6"/>
        <v>1013451</v>
      </c>
      <c r="M89" s="156">
        <f t="shared" si="6"/>
        <v>644822</v>
      </c>
    </row>
    <row r="90" spans="2:13" ht="12.75">
      <c r="B90" s="424" t="s">
        <v>583</v>
      </c>
      <c r="C90" s="401"/>
      <c r="D90" s="401"/>
      <c r="E90" s="402"/>
      <c r="F90" s="436"/>
      <c r="G90" s="410"/>
      <c r="H90" s="410"/>
      <c r="I90" s="410"/>
      <c r="J90" s="410">
        <v>112442</v>
      </c>
      <c r="K90" s="410">
        <v>126661</v>
      </c>
      <c r="L90" s="410">
        <v>173608</v>
      </c>
      <c r="M90" s="425">
        <v>240840</v>
      </c>
    </row>
    <row r="91" spans="2:13" ht="12.75">
      <c r="B91" s="434" t="s">
        <v>422</v>
      </c>
      <c r="F91" s="156">
        <f>SUM(F89:F90)</f>
        <v>779820</v>
      </c>
      <c r="G91" s="156">
        <f>SUM(G89:G90)</f>
        <v>779470</v>
      </c>
      <c r="H91" s="156">
        <f>SUM(H89:H90)</f>
        <v>789630</v>
      </c>
      <c r="I91" s="156">
        <f>SUM(I89:I90)</f>
        <v>987264</v>
      </c>
      <c r="J91" s="156">
        <f>SUM(J89+J90)</f>
        <v>833138</v>
      </c>
      <c r="K91" s="156">
        <f>SUM(K89+K90)</f>
        <v>765444</v>
      </c>
      <c r="L91" s="156">
        <f>SUM(L89+L90)</f>
        <v>1187059</v>
      </c>
      <c r="M91" s="156">
        <f>SUM(M89+M90)</f>
        <v>885662</v>
      </c>
    </row>
    <row r="114" ht="13.5" thickBot="1"/>
    <row r="115" spans="6:9" ht="13.5" thickTop="1">
      <c r="F115" s="416"/>
      <c r="G115" s="417"/>
      <c r="H115" s="416"/>
      <c r="I115" s="418"/>
    </row>
    <row r="116" ht="13.5" thickBot="1"/>
    <row r="117" spans="6:13" ht="13.5" thickTop="1">
      <c r="F117" s="439">
        <v>1998</v>
      </c>
      <c r="G117" s="417">
        <v>1999</v>
      </c>
      <c r="H117" s="416">
        <v>2000</v>
      </c>
      <c r="I117" s="417">
        <v>2001</v>
      </c>
      <c r="J117" s="416">
        <v>2002</v>
      </c>
      <c r="K117" s="417">
        <v>2003</v>
      </c>
      <c r="L117" s="416">
        <v>2004</v>
      </c>
      <c r="M117" s="418">
        <v>2005</v>
      </c>
    </row>
    <row r="118" spans="2:13" ht="12.75">
      <c r="B118" s="446" t="s">
        <v>340</v>
      </c>
      <c r="C118" s="437"/>
      <c r="D118" s="437"/>
      <c r="E118" s="445"/>
      <c r="F118" s="436">
        <v>140912</v>
      </c>
      <c r="G118" s="410">
        <v>393110</v>
      </c>
      <c r="H118" s="410">
        <v>358062</v>
      </c>
      <c r="I118" s="410">
        <v>530180</v>
      </c>
      <c r="J118" s="410">
        <v>135365</v>
      </c>
      <c r="K118" s="410">
        <v>114074</v>
      </c>
      <c r="L118" s="410">
        <v>92441</v>
      </c>
      <c r="M118" s="425">
        <v>123750</v>
      </c>
    </row>
    <row r="119" spans="2:13" ht="12.75">
      <c r="B119" s="401" t="s">
        <v>339</v>
      </c>
      <c r="C119" s="401"/>
      <c r="D119" s="402"/>
      <c r="E119" s="436"/>
      <c r="J119" s="410">
        <v>112442</v>
      </c>
      <c r="K119" s="410">
        <v>126661</v>
      </c>
      <c r="L119" s="410">
        <v>173608</v>
      </c>
      <c r="M119" s="425">
        <v>240840</v>
      </c>
    </row>
  </sheetData>
  <mergeCells count="4">
    <mergeCell ref="B32:E32"/>
    <mergeCell ref="C4:L4"/>
    <mergeCell ref="B11:D11"/>
    <mergeCell ref="B10:E10"/>
  </mergeCells>
  <printOptions/>
  <pageMargins left="0.75" right="0.75" top="1" bottom="1" header="0.5" footer="0.5"/>
  <pageSetup horizontalDpi="600" verticalDpi="600" orientation="landscape" paperSize="9" r:id="rId2"/>
  <rowBreaks count="1" manualBreakCount="1">
    <brk id="28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workbookViewId="0" topLeftCell="A1">
      <selection activeCell="F28" sqref="F28"/>
    </sheetView>
  </sheetViews>
  <sheetFormatPr defaultColWidth="9.140625" defaultRowHeight="12.75"/>
  <cols>
    <col min="1" max="1" width="30.00390625" style="519" customWidth="1"/>
    <col min="2" max="8" width="15.140625" style="519" customWidth="1"/>
    <col min="9" max="9" width="9.140625" style="519" customWidth="1"/>
    <col min="10" max="10" width="10.140625" style="519" customWidth="1"/>
    <col min="11" max="16384" width="9.140625" style="519" customWidth="1"/>
  </cols>
  <sheetData>
    <row r="1" ht="12.75">
      <c r="H1" s="570" t="s">
        <v>252</v>
      </c>
    </row>
    <row r="5" spans="1:11" ht="19.5" customHeight="1">
      <c r="A5" s="1343" t="s">
        <v>233</v>
      </c>
      <c r="B5" s="1343"/>
      <c r="C5" s="1343"/>
      <c r="D5" s="1343"/>
      <c r="E5" s="1343"/>
      <c r="F5" s="1343"/>
      <c r="G5" s="1343"/>
      <c r="H5" s="1343"/>
      <c r="I5" s="568"/>
      <c r="J5" s="568"/>
      <c r="K5" s="568"/>
    </row>
    <row r="6" spans="1:11" ht="19.5" customHeight="1">
      <c r="A6" s="538"/>
      <c r="B6" s="538"/>
      <c r="C6" s="538"/>
      <c r="D6" s="538" t="s">
        <v>251</v>
      </c>
      <c r="E6" s="538"/>
      <c r="F6" s="538"/>
      <c r="G6" s="538"/>
      <c r="H6" s="538"/>
      <c r="I6" s="568"/>
      <c r="J6" s="568"/>
      <c r="K6" s="568"/>
    </row>
    <row r="7" spans="1:11" ht="16.5" customHeight="1">
      <c r="A7" s="1344" t="s">
        <v>250</v>
      </c>
      <c r="B7" s="1344"/>
      <c r="C7" s="1344"/>
      <c r="D7" s="1344"/>
      <c r="E7" s="1344"/>
      <c r="F7" s="1344"/>
      <c r="G7" s="1344"/>
      <c r="H7" s="1344"/>
      <c r="I7" s="569"/>
      <c r="J7" s="569"/>
      <c r="K7" s="569"/>
    </row>
    <row r="8" spans="1:10" ht="11.25">
      <c r="A8" s="520"/>
      <c r="B8" s="520"/>
      <c r="C8" s="520"/>
      <c r="D8" s="520"/>
      <c r="E8" s="520"/>
      <c r="F8" s="520"/>
      <c r="G8" s="520"/>
      <c r="H8" s="520"/>
      <c r="I8" s="520"/>
      <c r="J8" s="520"/>
    </row>
    <row r="9" spans="1:10" ht="11.25">
      <c r="A9" s="520"/>
      <c r="B9" s="520"/>
      <c r="C9" s="520"/>
      <c r="D9" s="520"/>
      <c r="E9" s="520"/>
      <c r="F9" s="520"/>
      <c r="G9" s="520"/>
      <c r="H9" s="520"/>
      <c r="I9" s="520"/>
      <c r="J9" s="520"/>
    </row>
    <row r="10" spans="1:10" ht="12" thickBot="1">
      <c r="A10" s="521"/>
      <c r="B10" s="521"/>
      <c r="C10" s="521"/>
      <c r="D10" s="521"/>
      <c r="E10" s="521"/>
      <c r="F10" s="521"/>
      <c r="G10" s="521"/>
      <c r="H10" s="521"/>
      <c r="I10" s="521"/>
      <c r="J10" s="521"/>
    </row>
    <row r="11" spans="1:10" ht="68.25" customHeight="1" thickTop="1">
      <c r="A11" s="564" t="s">
        <v>441</v>
      </c>
      <c r="B11" s="565" t="s">
        <v>234</v>
      </c>
      <c r="C11" s="566" t="s">
        <v>235</v>
      </c>
      <c r="D11" s="566" t="s">
        <v>236</v>
      </c>
      <c r="E11" s="566" t="s">
        <v>237</v>
      </c>
      <c r="F11" s="566" t="s">
        <v>238</v>
      </c>
      <c r="G11" s="566" t="s">
        <v>239</v>
      </c>
      <c r="H11" s="567" t="s">
        <v>240</v>
      </c>
      <c r="I11" s="523"/>
      <c r="J11" s="523"/>
    </row>
    <row r="12" spans="1:10" ht="12.75">
      <c r="A12" s="544" t="s">
        <v>241</v>
      </c>
      <c r="B12" s="545">
        <v>5000000</v>
      </c>
      <c r="C12" s="546">
        <v>5000000</v>
      </c>
      <c r="D12" s="547">
        <v>1</v>
      </c>
      <c r="E12" s="546">
        <v>0</v>
      </c>
      <c r="F12" s="546">
        <v>0</v>
      </c>
      <c r="G12" s="546">
        <v>5000000</v>
      </c>
      <c r="H12" s="548">
        <v>0</v>
      </c>
      <c r="I12" s="524"/>
      <c r="J12" s="524"/>
    </row>
    <row r="13" spans="1:10" ht="12.75">
      <c r="A13" s="549" t="s">
        <v>242</v>
      </c>
      <c r="B13" s="550">
        <v>15000000</v>
      </c>
      <c r="C13" s="551">
        <v>3750000</v>
      </c>
      <c r="D13" s="552">
        <v>0.25</v>
      </c>
      <c r="E13" s="551"/>
      <c r="F13" s="551">
        <v>860000</v>
      </c>
      <c r="G13" s="551">
        <v>1733980</v>
      </c>
      <c r="H13" s="553">
        <v>0</v>
      </c>
      <c r="I13" s="524"/>
      <c r="J13" s="524"/>
    </row>
    <row r="14" spans="1:10" ht="12.75">
      <c r="A14" s="549" t="s">
        <v>243</v>
      </c>
      <c r="B14" s="554">
        <v>746800000</v>
      </c>
      <c r="C14" s="551">
        <v>757400000</v>
      </c>
      <c r="D14" s="552">
        <v>1</v>
      </c>
      <c r="E14" s="551"/>
      <c r="F14" s="551"/>
      <c r="G14" s="551">
        <v>746010000</v>
      </c>
      <c r="H14" s="553">
        <v>0</v>
      </c>
      <c r="I14" s="524"/>
      <c r="J14" s="524"/>
    </row>
    <row r="15" spans="1:10" ht="12.75">
      <c r="A15" s="549" t="s">
        <v>244</v>
      </c>
      <c r="B15" s="554">
        <v>3000000</v>
      </c>
      <c r="C15" s="551">
        <v>10000000</v>
      </c>
      <c r="D15" s="552">
        <v>1</v>
      </c>
      <c r="E15" s="551">
        <v>0</v>
      </c>
      <c r="F15" s="551">
        <v>0</v>
      </c>
      <c r="G15" s="551">
        <v>0</v>
      </c>
      <c r="H15" s="553">
        <v>0</v>
      </c>
      <c r="I15" s="524"/>
      <c r="J15" s="524"/>
    </row>
    <row r="16" spans="1:10" ht="12.75">
      <c r="A16" s="549" t="s">
        <v>245</v>
      </c>
      <c r="B16" s="550">
        <v>3000000</v>
      </c>
      <c r="C16" s="551">
        <v>3000000</v>
      </c>
      <c r="D16" s="552">
        <v>1</v>
      </c>
      <c r="E16" s="551">
        <v>18000000</v>
      </c>
      <c r="F16" s="551">
        <v>18000000</v>
      </c>
      <c r="G16" s="551">
        <v>3000000</v>
      </c>
      <c r="H16" s="553">
        <v>0</v>
      </c>
      <c r="I16" s="524"/>
      <c r="J16" s="524"/>
    </row>
    <row r="17" spans="1:10" ht="12.75">
      <c r="A17" s="549" t="s">
        <v>246</v>
      </c>
      <c r="B17" s="550">
        <v>14400000</v>
      </c>
      <c r="C17" s="551">
        <v>14400000</v>
      </c>
      <c r="D17" s="552">
        <v>1</v>
      </c>
      <c r="E17" s="551">
        <v>0</v>
      </c>
      <c r="F17" s="551">
        <v>0</v>
      </c>
      <c r="G17" s="551">
        <v>14400000</v>
      </c>
      <c r="H17" s="553">
        <v>0</v>
      </c>
      <c r="I17" s="524"/>
      <c r="J17" s="524"/>
    </row>
    <row r="18" spans="1:13" ht="12.75">
      <c r="A18" s="549" t="s">
        <v>247</v>
      </c>
      <c r="B18" s="550">
        <v>53980000</v>
      </c>
      <c r="C18" s="551">
        <v>27530000</v>
      </c>
      <c r="D18" s="552">
        <v>0.51</v>
      </c>
      <c r="E18" s="551">
        <v>0</v>
      </c>
      <c r="F18" s="551">
        <v>0</v>
      </c>
      <c r="G18" s="551">
        <v>27530000</v>
      </c>
      <c r="H18" s="553">
        <v>0</v>
      </c>
      <c r="I18" s="524"/>
      <c r="J18" s="524"/>
      <c r="K18" s="520"/>
      <c r="L18" s="520"/>
      <c r="M18" s="520"/>
    </row>
    <row r="19" spans="1:13" ht="12.75">
      <c r="A19" s="555" t="s">
        <v>248</v>
      </c>
      <c r="B19" s="556">
        <v>5200000</v>
      </c>
      <c r="C19" s="557">
        <v>100000</v>
      </c>
      <c r="D19" s="558">
        <v>0.00019</v>
      </c>
      <c r="E19" s="557">
        <v>0</v>
      </c>
      <c r="F19" s="557">
        <v>0</v>
      </c>
      <c r="G19" s="557">
        <v>100000</v>
      </c>
      <c r="H19" s="559">
        <v>0</v>
      </c>
      <c r="I19" s="524"/>
      <c r="J19" s="524"/>
      <c r="K19" s="520"/>
      <c r="L19" s="520"/>
      <c r="M19" s="520"/>
    </row>
    <row r="20" spans="1:13" ht="13.5" thickBot="1">
      <c r="A20" s="560" t="s">
        <v>249</v>
      </c>
      <c r="B20" s="561">
        <f>SUM(B12:B19)</f>
        <v>846380000</v>
      </c>
      <c r="C20" s="562">
        <f>SUM(C12:C19)</f>
        <v>821180000</v>
      </c>
      <c r="D20" s="562"/>
      <c r="E20" s="562">
        <f>SUM(E12:E19)</f>
        <v>18000000</v>
      </c>
      <c r="F20" s="562">
        <f>SUM(F12:F19)</f>
        <v>18860000</v>
      </c>
      <c r="G20" s="562">
        <f>SUM(G12:G19)</f>
        <v>797773980</v>
      </c>
      <c r="H20" s="563">
        <v>0</v>
      </c>
      <c r="I20" s="525"/>
      <c r="J20" s="525"/>
      <c r="K20" s="520"/>
      <c r="L20" s="520"/>
      <c r="M20" s="520"/>
    </row>
    <row r="21" spans="1:10" ht="12" thickTop="1">
      <c r="A21" s="526"/>
      <c r="B21" s="521"/>
      <c r="C21" s="521"/>
      <c r="D21" s="527"/>
      <c r="E21" s="521"/>
      <c r="F21" s="521"/>
      <c r="G21" s="521"/>
      <c r="H21" s="521"/>
      <c r="I21" s="521"/>
      <c r="J21" s="521"/>
    </row>
    <row r="24" ht="11.25">
      <c r="G24" s="520"/>
    </row>
    <row r="25" spans="2:7" ht="11.25">
      <c r="B25" s="520"/>
      <c r="C25" s="520"/>
      <c r="D25" s="520"/>
      <c r="E25" s="524"/>
      <c r="F25" s="524"/>
      <c r="G25" s="524"/>
    </row>
    <row r="26" spans="2:7" ht="11.25">
      <c r="B26" s="520"/>
      <c r="C26" s="524"/>
      <c r="D26" s="520"/>
      <c r="E26" s="524"/>
      <c r="F26" s="524"/>
      <c r="G26" s="524"/>
    </row>
    <row r="27" spans="2:7" ht="11.25">
      <c r="B27" s="520"/>
      <c r="C27" s="524"/>
      <c r="D27" s="520"/>
      <c r="E27" s="524"/>
      <c r="F27" s="524"/>
      <c r="G27" s="524"/>
    </row>
    <row r="28" spans="2:14" ht="11.25">
      <c r="B28" s="524"/>
      <c r="C28" s="524"/>
      <c r="D28" s="528"/>
      <c r="E28" s="524"/>
      <c r="F28" s="524"/>
      <c r="G28" s="524"/>
      <c r="H28" s="528"/>
      <c r="I28" s="528"/>
      <c r="J28" s="528"/>
      <c r="K28" s="529"/>
      <c r="L28" s="530"/>
      <c r="M28" s="531"/>
      <c r="N28" s="531"/>
    </row>
    <row r="29" spans="2:14" ht="11.25">
      <c r="B29" s="524"/>
      <c r="C29" s="524"/>
      <c r="D29" s="528"/>
      <c r="E29" s="524"/>
      <c r="F29" s="524"/>
      <c r="G29" s="524"/>
      <c r="H29" s="528"/>
      <c r="I29" s="528"/>
      <c r="J29" s="528"/>
      <c r="K29" s="530"/>
      <c r="L29" s="530"/>
      <c r="M29" s="531"/>
      <c r="N29" s="531"/>
    </row>
    <row r="30" spans="2:14" ht="11.25">
      <c r="B30" s="532"/>
      <c r="C30" s="524"/>
      <c r="D30" s="528"/>
      <c r="E30" s="524"/>
      <c r="F30" s="524"/>
      <c r="G30" s="524"/>
      <c r="H30" s="528"/>
      <c r="I30" s="528"/>
      <c r="J30" s="528"/>
      <c r="K30" s="530"/>
      <c r="L30" s="530"/>
      <c r="M30" s="531"/>
      <c r="N30" s="531"/>
    </row>
    <row r="31" spans="2:14" ht="11.25">
      <c r="B31" s="532"/>
      <c r="C31" s="524"/>
      <c r="D31" s="528"/>
      <c r="E31" s="524"/>
      <c r="F31" s="524"/>
      <c r="G31" s="524"/>
      <c r="H31" s="533"/>
      <c r="I31" s="533"/>
      <c r="J31" s="533"/>
      <c r="K31" s="534"/>
      <c r="L31" s="534"/>
      <c r="M31" s="531"/>
      <c r="N31" s="531"/>
    </row>
    <row r="32" spans="2:14" ht="11.25">
      <c r="B32" s="524"/>
      <c r="C32" s="524"/>
      <c r="D32" s="528"/>
      <c r="E32" s="524"/>
      <c r="F32" s="524"/>
      <c r="G32" s="524"/>
      <c r="H32" s="528"/>
      <c r="I32" s="528"/>
      <c r="J32" s="528"/>
      <c r="K32" s="530"/>
      <c r="L32" s="530"/>
      <c r="M32" s="531"/>
      <c r="N32" s="531"/>
    </row>
    <row r="33" spans="2:10" ht="11.25">
      <c r="B33" s="524"/>
      <c r="C33" s="524"/>
      <c r="D33" s="520"/>
      <c r="E33" s="524"/>
      <c r="F33" s="524"/>
      <c r="G33" s="524"/>
      <c r="H33" s="520"/>
      <c r="I33" s="520"/>
      <c r="J33" s="520"/>
    </row>
    <row r="34" spans="2:7" ht="11.25">
      <c r="B34" s="524"/>
      <c r="C34" s="524"/>
      <c r="D34" s="520"/>
      <c r="E34" s="535"/>
      <c r="F34" s="535"/>
      <c r="G34" s="535"/>
    </row>
    <row r="35" spans="2:7" ht="11.25">
      <c r="B35" s="524"/>
      <c r="C35" s="535"/>
      <c r="D35" s="520"/>
      <c r="E35" s="520"/>
      <c r="F35" s="520"/>
      <c r="G35" s="520"/>
    </row>
    <row r="36" spans="2:5" ht="11.25">
      <c r="B36" s="524"/>
      <c r="C36" s="520"/>
      <c r="D36" s="520"/>
      <c r="E36" s="520"/>
    </row>
    <row r="37" ht="11.25">
      <c r="B37" s="536"/>
    </row>
  </sheetData>
  <mergeCells count="2">
    <mergeCell ref="A5:H5"/>
    <mergeCell ref="A7:H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2"/>
  <colBreaks count="1" manualBreakCount="1">
    <brk id="8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F28" sqref="F28"/>
    </sheetView>
  </sheetViews>
  <sheetFormatPr defaultColWidth="9.140625" defaultRowHeight="12.75"/>
  <cols>
    <col min="1" max="1" width="19.7109375" style="519" customWidth="1"/>
    <col min="2" max="2" width="13.421875" style="519" customWidth="1"/>
    <col min="3" max="3" width="13.421875" style="571" customWidth="1"/>
    <col min="4" max="9" width="13.421875" style="519" customWidth="1"/>
    <col min="10" max="16384" width="9.140625" style="519" customWidth="1"/>
  </cols>
  <sheetData>
    <row r="1" ht="12.75">
      <c r="I1" s="570" t="s">
        <v>302</v>
      </c>
    </row>
    <row r="3" spans="1:9" ht="18">
      <c r="A3" s="1343" t="s">
        <v>301</v>
      </c>
      <c r="B3" s="1343"/>
      <c r="C3" s="1343"/>
      <c r="D3" s="1343"/>
      <c r="E3" s="1343"/>
      <c r="F3" s="1343"/>
      <c r="G3" s="1343"/>
      <c r="H3" s="1343"/>
      <c r="I3" s="1343"/>
    </row>
    <row r="4" spans="1:9" ht="20.25" customHeight="1">
      <c r="A4" s="1343" t="s">
        <v>299</v>
      </c>
      <c r="B4" s="1343"/>
      <c r="C4" s="1343"/>
      <c r="D4" s="1343"/>
      <c r="E4" s="1343"/>
      <c r="F4" s="1343"/>
      <c r="G4" s="1343"/>
      <c r="H4" s="1343"/>
      <c r="I4" s="1343"/>
    </row>
    <row r="5" spans="1:9" ht="12.75">
      <c r="A5" s="1346" t="s">
        <v>250</v>
      </c>
      <c r="B5" s="1346"/>
      <c r="C5" s="1346"/>
      <c r="D5" s="1346"/>
      <c r="E5" s="1346"/>
      <c r="F5" s="1346"/>
      <c r="G5" s="1346"/>
      <c r="H5" s="1346"/>
      <c r="I5" s="1346"/>
    </row>
    <row r="6" spans="1:6" ht="12.75">
      <c r="A6" s="537"/>
      <c r="B6" s="537"/>
      <c r="C6" s="537"/>
      <c r="D6" s="506"/>
      <c r="E6" s="506"/>
      <c r="F6" s="506"/>
    </row>
    <row r="7" ht="12" thickBot="1"/>
    <row r="8" spans="1:9" ht="60.75" customHeight="1" thickTop="1">
      <c r="A8" s="591" t="s">
        <v>441</v>
      </c>
      <c r="B8" s="592" t="s">
        <v>253</v>
      </c>
      <c r="C8" s="593" t="s">
        <v>254</v>
      </c>
      <c r="D8" s="594" t="s">
        <v>255</v>
      </c>
      <c r="E8" s="594" t="s">
        <v>256</v>
      </c>
      <c r="F8" s="594" t="s">
        <v>257</v>
      </c>
      <c r="G8" s="594" t="s">
        <v>258</v>
      </c>
      <c r="H8" s="594" t="s">
        <v>259</v>
      </c>
      <c r="I8" s="595" t="s">
        <v>260</v>
      </c>
    </row>
    <row r="9" spans="1:9" ht="11.25" hidden="1">
      <c r="A9" s="596"/>
      <c r="B9" s="586"/>
      <c r="C9" s="572"/>
      <c r="D9" s="522"/>
      <c r="E9" s="522"/>
      <c r="F9" s="522"/>
      <c r="G9" s="522"/>
      <c r="H9" s="522"/>
      <c r="I9" s="597"/>
    </row>
    <row r="10" spans="1:9" ht="11.25" hidden="1">
      <c r="A10" s="596"/>
      <c r="B10" s="586"/>
      <c r="C10" s="572"/>
      <c r="D10" s="522"/>
      <c r="E10" s="522"/>
      <c r="F10" s="522"/>
      <c r="G10" s="522"/>
      <c r="H10" s="522"/>
      <c r="I10" s="597"/>
    </row>
    <row r="11" spans="1:9" ht="11.25" hidden="1">
      <c r="A11" s="596"/>
      <c r="B11" s="586"/>
      <c r="C11" s="572"/>
      <c r="D11" s="522"/>
      <c r="E11" s="522"/>
      <c r="F11" s="522"/>
      <c r="G11" s="522"/>
      <c r="H11" s="522"/>
      <c r="I11" s="597"/>
    </row>
    <row r="12" spans="1:9" ht="11.25" hidden="1">
      <c r="A12" s="596"/>
      <c r="B12" s="586"/>
      <c r="C12" s="572"/>
      <c r="D12" s="522"/>
      <c r="E12" s="522"/>
      <c r="F12" s="522"/>
      <c r="G12" s="522"/>
      <c r="H12" s="522"/>
      <c r="I12" s="597"/>
    </row>
    <row r="13" spans="1:9" ht="11.25" hidden="1">
      <c r="A13" s="596"/>
      <c r="B13" s="586"/>
      <c r="C13" s="572"/>
      <c r="D13" s="522"/>
      <c r="E13" s="522"/>
      <c r="F13" s="522"/>
      <c r="G13" s="522"/>
      <c r="H13" s="522"/>
      <c r="I13" s="597"/>
    </row>
    <row r="14" spans="1:9" ht="11.25" hidden="1">
      <c r="A14" s="596"/>
      <c r="B14" s="586"/>
      <c r="C14" s="572"/>
      <c r="D14" s="522"/>
      <c r="E14" s="522"/>
      <c r="F14" s="522"/>
      <c r="G14" s="522"/>
      <c r="H14" s="522"/>
      <c r="I14" s="597"/>
    </row>
    <row r="15" spans="1:9" ht="11.25" hidden="1">
      <c r="A15" s="596"/>
      <c r="B15" s="586"/>
      <c r="C15" s="572"/>
      <c r="D15" s="522"/>
      <c r="E15" s="522"/>
      <c r="F15" s="522"/>
      <c r="G15" s="522"/>
      <c r="H15" s="522"/>
      <c r="I15" s="597"/>
    </row>
    <row r="16" spans="1:9" ht="11.25" hidden="1">
      <c r="A16" s="596"/>
      <c r="B16" s="586"/>
      <c r="C16" s="572"/>
      <c r="D16" s="522"/>
      <c r="E16" s="522"/>
      <c r="F16" s="522"/>
      <c r="G16" s="522"/>
      <c r="H16" s="522"/>
      <c r="I16" s="597"/>
    </row>
    <row r="17" spans="1:9" ht="11.25" hidden="1">
      <c r="A17" s="596"/>
      <c r="B17" s="586"/>
      <c r="C17" s="572"/>
      <c r="D17" s="522"/>
      <c r="E17" s="522"/>
      <c r="F17" s="522"/>
      <c r="G17" s="522"/>
      <c r="H17" s="522"/>
      <c r="I17" s="597"/>
    </row>
    <row r="18" spans="1:9" ht="11.25" hidden="1">
      <c r="A18" s="598"/>
      <c r="B18" s="587"/>
      <c r="C18" s="574"/>
      <c r="D18" s="539"/>
      <c r="E18" s="539"/>
      <c r="F18" s="539"/>
      <c r="G18" s="539"/>
      <c r="H18" s="539"/>
      <c r="I18" s="599"/>
    </row>
    <row r="19" spans="1:9" ht="11.25">
      <c r="A19" s="600" t="s">
        <v>261</v>
      </c>
      <c r="B19" s="588" t="s">
        <v>262</v>
      </c>
      <c r="C19" s="580" t="s">
        <v>263</v>
      </c>
      <c r="D19" s="581">
        <v>23012000</v>
      </c>
      <c r="E19" s="581">
        <v>23012000</v>
      </c>
      <c r="F19" s="582">
        <v>6.4</v>
      </c>
      <c r="G19" s="579">
        <v>0</v>
      </c>
      <c r="H19" s="579">
        <v>0</v>
      </c>
      <c r="I19" s="601" t="s">
        <v>264</v>
      </c>
    </row>
    <row r="20" spans="1:9" ht="11.25">
      <c r="A20" s="602"/>
      <c r="B20" s="589"/>
      <c r="C20" s="576" t="s">
        <v>265</v>
      </c>
      <c r="D20" s="575"/>
      <c r="E20" s="575"/>
      <c r="F20" s="578"/>
      <c r="G20" s="575"/>
      <c r="H20" s="575"/>
      <c r="I20" s="603"/>
    </row>
    <row r="21" spans="1:9" ht="11.25">
      <c r="A21" s="602"/>
      <c r="B21" s="589"/>
      <c r="C21" s="576" t="s">
        <v>266</v>
      </c>
      <c r="D21" s="575"/>
      <c r="E21" s="575"/>
      <c r="F21" s="578"/>
      <c r="G21" s="575"/>
      <c r="H21" s="575"/>
      <c r="I21" s="603"/>
    </row>
    <row r="22" spans="1:9" ht="11.25">
      <c r="A22" s="602"/>
      <c r="B22" s="589" t="s">
        <v>267</v>
      </c>
      <c r="C22" s="576" t="s">
        <v>268</v>
      </c>
      <c r="D22" s="575"/>
      <c r="E22" s="575"/>
      <c r="F22" s="578"/>
      <c r="G22" s="575"/>
      <c r="H22" s="575"/>
      <c r="I22" s="603"/>
    </row>
    <row r="23" spans="1:9" ht="11.25">
      <c r="A23" s="602"/>
      <c r="B23" s="589"/>
      <c r="C23" s="576" t="s">
        <v>269</v>
      </c>
      <c r="D23" s="575"/>
      <c r="E23" s="575"/>
      <c r="F23" s="578"/>
      <c r="G23" s="575"/>
      <c r="H23" s="575"/>
      <c r="I23" s="603"/>
    </row>
    <row r="24" spans="1:9" ht="11.25">
      <c r="A24" s="602"/>
      <c r="B24" s="589"/>
      <c r="C24" s="576" t="s">
        <v>270</v>
      </c>
      <c r="D24" s="575"/>
      <c r="E24" s="575"/>
      <c r="F24" s="578"/>
      <c r="G24" s="575"/>
      <c r="H24" s="575"/>
      <c r="I24" s="603"/>
    </row>
    <row r="25" spans="1:9" ht="11.25">
      <c r="A25" s="602"/>
      <c r="B25" s="589" t="s">
        <v>271</v>
      </c>
      <c r="C25" s="576" t="s">
        <v>272</v>
      </c>
      <c r="D25" s="575"/>
      <c r="E25" s="575"/>
      <c r="F25" s="578"/>
      <c r="G25" s="575"/>
      <c r="H25" s="575"/>
      <c r="I25" s="603"/>
    </row>
    <row r="26" spans="1:9" ht="11.25">
      <c r="A26" s="602"/>
      <c r="B26" s="589"/>
      <c r="C26" s="576" t="s">
        <v>273</v>
      </c>
      <c r="D26" s="575"/>
      <c r="E26" s="575"/>
      <c r="F26" s="578"/>
      <c r="G26" s="575"/>
      <c r="H26" s="575"/>
      <c r="I26" s="603"/>
    </row>
    <row r="27" spans="1:9" ht="11.25">
      <c r="A27" s="602"/>
      <c r="B27" s="589"/>
      <c r="C27" s="576" t="s">
        <v>274</v>
      </c>
      <c r="D27" s="575"/>
      <c r="E27" s="575"/>
      <c r="F27" s="578"/>
      <c r="G27" s="575"/>
      <c r="H27" s="575"/>
      <c r="I27" s="603"/>
    </row>
    <row r="28" spans="1:9" ht="11.25">
      <c r="A28" s="602"/>
      <c r="B28" s="589" t="s">
        <v>275</v>
      </c>
      <c r="C28" s="576" t="s">
        <v>276</v>
      </c>
      <c r="D28" s="575"/>
      <c r="E28" s="575"/>
      <c r="F28" s="578"/>
      <c r="G28" s="575"/>
      <c r="H28" s="575"/>
      <c r="I28" s="603"/>
    </row>
    <row r="29" spans="1:9" ht="11.25" hidden="1">
      <c r="A29" s="602"/>
      <c r="B29" s="589"/>
      <c r="C29" s="576"/>
      <c r="D29" s="575"/>
      <c r="E29" s="575"/>
      <c r="F29" s="578"/>
      <c r="G29" s="575"/>
      <c r="H29" s="575"/>
      <c r="I29" s="603"/>
    </row>
    <row r="30" spans="1:9" ht="11.25" hidden="1">
      <c r="A30" s="602"/>
      <c r="B30" s="589"/>
      <c r="C30" s="576"/>
      <c r="D30" s="575"/>
      <c r="E30" s="575"/>
      <c r="F30" s="578"/>
      <c r="G30" s="575"/>
      <c r="H30" s="575"/>
      <c r="I30" s="603"/>
    </row>
    <row r="31" spans="1:9" ht="11.25">
      <c r="A31" s="602" t="s">
        <v>277</v>
      </c>
      <c r="B31" s="589" t="s">
        <v>278</v>
      </c>
      <c r="C31" s="576" t="s">
        <v>279</v>
      </c>
      <c r="D31" s="577">
        <v>2591000</v>
      </c>
      <c r="E31" s="577">
        <v>2591000</v>
      </c>
      <c r="F31" s="578">
        <v>0.92</v>
      </c>
      <c r="G31" s="577">
        <v>0</v>
      </c>
      <c r="H31" s="577">
        <v>2591000</v>
      </c>
      <c r="I31" s="604" t="s">
        <v>264</v>
      </c>
    </row>
    <row r="32" spans="1:9" ht="11.25">
      <c r="A32" s="602"/>
      <c r="B32" s="589" t="s">
        <v>280</v>
      </c>
      <c r="C32" s="576" t="s">
        <v>281</v>
      </c>
      <c r="D32" s="577"/>
      <c r="E32" s="577"/>
      <c r="F32" s="578"/>
      <c r="G32" s="577"/>
      <c r="H32" s="577"/>
      <c r="I32" s="604"/>
    </row>
    <row r="33" spans="1:9" ht="11.25">
      <c r="A33" s="602"/>
      <c r="B33" s="589" t="s">
        <v>282</v>
      </c>
      <c r="C33" s="576" t="s">
        <v>283</v>
      </c>
      <c r="D33" s="577"/>
      <c r="E33" s="577"/>
      <c r="F33" s="578"/>
      <c r="G33" s="577"/>
      <c r="H33" s="577"/>
      <c r="I33" s="604"/>
    </row>
    <row r="34" spans="1:9" ht="11.25">
      <c r="A34" s="602"/>
      <c r="B34" s="589" t="s">
        <v>284</v>
      </c>
      <c r="C34" s="576">
        <v>349961</v>
      </c>
      <c r="D34" s="577"/>
      <c r="E34" s="577"/>
      <c r="F34" s="578"/>
      <c r="G34" s="577"/>
      <c r="H34" s="577"/>
      <c r="I34" s="604"/>
    </row>
    <row r="35" spans="1:9" ht="11.25">
      <c r="A35" s="602" t="s">
        <v>285</v>
      </c>
      <c r="B35" s="589" t="s">
        <v>286</v>
      </c>
      <c r="C35" s="576" t="s">
        <v>287</v>
      </c>
      <c r="D35" s="577">
        <v>54500000</v>
      </c>
      <c r="E35" s="577">
        <v>54500000</v>
      </c>
      <c r="F35" s="578">
        <v>45.5</v>
      </c>
      <c r="G35" s="577">
        <v>0</v>
      </c>
      <c r="H35" s="577">
        <v>54500000</v>
      </c>
      <c r="I35" s="604" t="s">
        <v>288</v>
      </c>
    </row>
    <row r="36" spans="1:9" ht="11.25">
      <c r="A36" s="602"/>
      <c r="B36" s="589" t="s">
        <v>289</v>
      </c>
      <c r="C36" s="576" t="s">
        <v>290</v>
      </c>
      <c r="D36" s="577"/>
      <c r="E36" s="577"/>
      <c r="F36" s="578"/>
      <c r="G36" s="577"/>
      <c r="H36" s="577"/>
      <c r="I36" s="604"/>
    </row>
    <row r="37" spans="1:9" ht="11.25">
      <c r="A37" s="602"/>
      <c r="B37" s="589" t="s">
        <v>280</v>
      </c>
      <c r="C37" s="576" t="s">
        <v>291</v>
      </c>
      <c r="D37" s="577"/>
      <c r="E37" s="577"/>
      <c r="F37" s="578"/>
      <c r="G37" s="577"/>
      <c r="H37" s="577"/>
      <c r="I37" s="604"/>
    </row>
    <row r="38" spans="1:9" ht="11.25">
      <c r="A38" s="543" t="s">
        <v>292</v>
      </c>
      <c r="B38" s="542">
        <v>52000000</v>
      </c>
      <c r="C38" s="540">
        <v>104000000</v>
      </c>
      <c r="D38" s="541">
        <v>1</v>
      </c>
      <c r="E38" s="540">
        <v>61000000</v>
      </c>
      <c r="F38" s="540">
        <v>68225000</v>
      </c>
      <c r="G38" s="540">
        <v>52000000</v>
      </c>
      <c r="H38" s="540">
        <v>0</v>
      </c>
      <c r="I38" s="604"/>
    </row>
    <row r="39" spans="1:9" ht="11.25">
      <c r="A39" s="602" t="s">
        <v>293</v>
      </c>
      <c r="B39" s="589" t="s">
        <v>294</v>
      </c>
      <c r="C39" s="576" t="s">
        <v>295</v>
      </c>
      <c r="D39" s="577">
        <v>50610000</v>
      </c>
      <c r="E39" s="577">
        <v>50610000</v>
      </c>
      <c r="F39" s="578">
        <v>4.9</v>
      </c>
      <c r="G39" s="577">
        <v>0</v>
      </c>
      <c r="H39" s="577">
        <v>50610000</v>
      </c>
      <c r="I39" s="604" t="s">
        <v>264</v>
      </c>
    </row>
    <row r="40" spans="1:9" ht="11.25">
      <c r="A40" s="605" t="s">
        <v>296</v>
      </c>
      <c r="B40" s="590" t="s">
        <v>297</v>
      </c>
      <c r="C40" s="583" t="s">
        <v>298</v>
      </c>
      <c r="D40" s="584">
        <v>9000000</v>
      </c>
      <c r="E40" s="584">
        <v>9000000</v>
      </c>
      <c r="F40" s="585">
        <v>1.3</v>
      </c>
      <c r="G40" s="584">
        <v>0</v>
      </c>
      <c r="H40" s="584"/>
      <c r="I40" s="606" t="s">
        <v>264</v>
      </c>
    </row>
    <row r="41" spans="1:9" ht="16.5" thickBot="1">
      <c r="A41" s="607" t="s">
        <v>249</v>
      </c>
      <c r="B41" s="608"/>
      <c r="C41" s="609"/>
      <c r="D41" s="610">
        <f>SUM(D19:D40)</f>
        <v>139713001</v>
      </c>
      <c r="E41" s="610">
        <f>SUM(E19:E40)</f>
        <v>200713000</v>
      </c>
      <c r="F41" s="611"/>
      <c r="G41" s="610">
        <v>0</v>
      </c>
      <c r="H41" s="612">
        <f>SUM(H19:H40)</f>
        <v>107701000</v>
      </c>
      <c r="I41" s="613" t="s">
        <v>288</v>
      </c>
    </row>
    <row r="42" ht="12" thickTop="1">
      <c r="A42" s="519" t="s">
        <v>300</v>
      </c>
    </row>
    <row r="45" spans="2:13" ht="11.25">
      <c r="B45" s="528"/>
      <c r="C45" s="528"/>
      <c r="D45" s="528"/>
      <c r="E45" s="528"/>
      <c r="F45" s="528"/>
      <c r="G45" s="528"/>
      <c r="H45" s="528"/>
      <c r="I45" s="528"/>
      <c r="J45" s="529"/>
      <c r="K45" s="530"/>
      <c r="L45" s="531"/>
      <c r="M45" s="531"/>
    </row>
    <row r="46" spans="2:13" ht="11.25">
      <c r="B46" s="528"/>
      <c r="C46" s="528"/>
      <c r="D46" s="573"/>
      <c r="E46" s="528"/>
      <c r="F46" s="528"/>
      <c r="G46" s="528"/>
      <c r="H46" s="528"/>
      <c r="I46" s="528"/>
      <c r="J46" s="530"/>
      <c r="K46" s="530"/>
      <c r="L46" s="531"/>
      <c r="M46" s="531"/>
    </row>
    <row r="47" spans="2:13" ht="11.25">
      <c r="B47" s="531"/>
      <c r="C47" s="531"/>
      <c r="D47" s="573"/>
      <c r="E47" s="531"/>
      <c r="F47" s="531"/>
      <c r="G47" s="531"/>
      <c r="H47" s="531"/>
      <c r="I47" s="531"/>
      <c r="J47" s="530"/>
      <c r="K47" s="530"/>
      <c r="L47" s="531"/>
      <c r="M47" s="531"/>
    </row>
    <row r="48" spans="2:13" ht="11.25">
      <c r="B48" s="531"/>
      <c r="C48" s="531"/>
      <c r="D48" s="573"/>
      <c r="E48" s="1345"/>
      <c r="F48" s="1345"/>
      <c r="G48" s="1345"/>
      <c r="H48" s="1345"/>
      <c r="I48" s="1345"/>
      <c r="J48" s="534"/>
      <c r="K48" s="534"/>
      <c r="L48" s="531"/>
      <c r="M48" s="531"/>
    </row>
    <row r="49" spans="2:13" ht="11.25">
      <c r="B49" s="531"/>
      <c r="C49" s="531"/>
      <c r="D49" s="573"/>
      <c r="E49" s="531"/>
      <c r="F49" s="531"/>
      <c r="G49" s="531"/>
      <c r="H49" s="531"/>
      <c r="I49" s="531"/>
      <c r="J49" s="530"/>
      <c r="K49" s="530"/>
      <c r="L49" s="531"/>
      <c r="M49" s="531"/>
    </row>
    <row r="50" spans="4:8" ht="11.25">
      <c r="D50" s="573"/>
      <c r="E50" s="573"/>
      <c r="F50" s="520"/>
      <c r="G50" s="520"/>
      <c r="H50" s="521"/>
    </row>
    <row r="51" spans="4:8" ht="11.25">
      <c r="D51" s="573"/>
      <c r="E51" s="521"/>
      <c r="F51" s="520"/>
      <c r="G51" s="520"/>
      <c r="H51" s="521"/>
    </row>
    <row r="52" spans="4:8" ht="11.25">
      <c r="D52" s="573"/>
      <c r="E52" s="521"/>
      <c r="F52" s="520"/>
      <c r="G52" s="520"/>
      <c r="H52" s="521"/>
    </row>
    <row r="53" spans="4:9" ht="11.25">
      <c r="D53" s="573"/>
      <c r="E53" s="521"/>
      <c r="F53" s="529"/>
      <c r="G53" s="529"/>
      <c r="H53" s="521"/>
      <c r="I53" s="529"/>
    </row>
    <row r="54" spans="4:9" ht="11.25">
      <c r="D54" s="573"/>
      <c r="E54" s="521"/>
      <c r="F54" s="529"/>
      <c r="G54" s="529"/>
      <c r="H54" s="521"/>
      <c r="I54" s="529"/>
    </row>
    <row r="55" spans="4:9" ht="11.25">
      <c r="D55" s="573"/>
      <c r="E55" s="521"/>
      <c r="F55" s="529"/>
      <c r="G55" s="529"/>
      <c r="H55" s="521"/>
      <c r="I55" s="530"/>
    </row>
    <row r="56" spans="4:9" ht="11.25">
      <c r="D56" s="535"/>
      <c r="E56" s="521"/>
      <c r="F56" s="533"/>
      <c r="G56" s="533"/>
      <c r="H56" s="521"/>
      <c r="I56" s="534"/>
    </row>
    <row r="57" spans="5:9" ht="11.25">
      <c r="E57" s="521"/>
      <c r="F57" s="528"/>
      <c r="G57" s="528"/>
      <c r="H57" s="521"/>
      <c r="I57" s="531"/>
    </row>
    <row r="58" spans="5:8" ht="11.25">
      <c r="E58" s="521"/>
      <c r="F58" s="520"/>
      <c r="G58" s="520"/>
      <c r="H58" s="521"/>
    </row>
    <row r="59" spans="5:8" ht="11.25">
      <c r="E59" s="521"/>
      <c r="F59" s="520"/>
      <c r="G59" s="520"/>
      <c r="H59" s="521"/>
    </row>
    <row r="60" spans="5:8" ht="11.25">
      <c r="E60" s="521"/>
      <c r="F60" s="520"/>
      <c r="G60" s="520"/>
      <c r="H60" s="521"/>
    </row>
    <row r="61" spans="5:8" ht="11.25">
      <c r="E61" s="521"/>
      <c r="F61" s="520"/>
      <c r="G61" s="520"/>
      <c r="H61" s="521"/>
    </row>
    <row r="62" spans="5:8" ht="11.25">
      <c r="E62" s="573"/>
      <c r="F62" s="520"/>
      <c r="G62" s="520"/>
      <c r="H62" s="573"/>
    </row>
    <row r="63" spans="5:8" ht="11.25">
      <c r="E63" s="573"/>
      <c r="F63" s="520"/>
      <c r="G63" s="520"/>
      <c r="H63" s="573"/>
    </row>
    <row r="64" spans="5:8" ht="11.25">
      <c r="E64" s="573"/>
      <c r="F64" s="520"/>
      <c r="G64" s="520"/>
      <c r="H64" s="573"/>
    </row>
    <row r="65" spans="5:8" ht="11.25">
      <c r="E65" s="573"/>
      <c r="F65" s="520"/>
      <c r="G65" s="520"/>
      <c r="H65" s="573"/>
    </row>
    <row r="66" spans="5:8" ht="11.25">
      <c r="E66" s="573"/>
      <c r="F66" s="520"/>
      <c r="G66" s="520"/>
      <c r="H66" s="573"/>
    </row>
    <row r="67" spans="5:8" ht="11.25">
      <c r="E67" s="573"/>
      <c r="F67" s="520"/>
      <c r="G67" s="520"/>
      <c r="H67" s="573"/>
    </row>
    <row r="68" spans="5:8" ht="11.25">
      <c r="E68" s="573"/>
      <c r="F68" s="520"/>
      <c r="G68" s="520"/>
      <c r="H68" s="573"/>
    </row>
    <row r="69" spans="5:8" ht="11.25">
      <c r="E69" s="573"/>
      <c r="F69" s="520"/>
      <c r="G69" s="520"/>
      <c r="H69" s="573"/>
    </row>
    <row r="70" spans="5:8" ht="11.25">
      <c r="E70" s="573"/>
      <c r="F70" s="520"/>
      <c r="G70" s="520"/>
      <c r="H70" s="573"/>
    </row>
    <row r="71" spans="5:8" ht="11.25">
      <c r="E71" s="535"/>
      <c r="F71" s="520"/>
      <c r="G71" s="520"/>
      <c r="H71" s="520"/>
    </row>
  </sheetData>
  <mergeCells count="4">
    <mergeCell ref="E48:I48"/>
    <mergeCell ref="A3:I3"/>
    <mergeCell ref="A4:I4"/>
    <mergeCell ref="A5:I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F28" sqref="F28"/>
    </sheetView>
  </sheetViews>
  <sheetFormatPr defaultColWidth="9.140625" defaultRowHeight="12.75"/>
  <cols>
    <col min="1" max="1" width="33.8515625" style="615" bestFit="1" customWidth="1"/>
    <col min="2" max="4" width="16.28125" style="615" bestFit="1" customWidth="1"/>
    <col min="5" max="5" width="16.28125" style="615" customWidth="1"/>
    <col min="6" max="6" width="16.28125" style="615" bestFit="1" customWidth="1"/>
    <col min="7" max="8" width="14.7109375" style="615" customWidth="1"/>
    <col min="9" max="9" width="15.28125" style="615" customWidth="1"/>
    <col min="10" max="16384" width="9.140625" style="615" customWidth="1"/>
  </cols>
  <sheetData>
    <row r="1" ht="15">
      <c r="I1" s="616" t="s">
        <v>308</v>
      </c>
    </row>
    <row r="2" spans="1:9" ht="15">
      <c r="A2" s="614"/>
      <c r="B2" s="618"/>
      <c r="I2" s="617"/>
    </row>
    <row r="3" spans="1:9" ht="43.5" customHeight="1">
      <c r="A3" s="1350" t="s">
        <v>337</v>
      </c>
      <c r="B3" s="1350"/>
      <c r="C3" s="1350"/>
      <c r="D3" s="1350"/>
      <c r="E3" s="1350"/>
      <c r="F3" s="1350"/>
      <c r="G3" s="1350"/>
      <c r="H3" s="1350"/>
      <c r="I3" s="1350"/>
    </row>
    <row r="4" spans="1:9" ht="43.5" customHeight="1">
      <c r="A4" s="652"/>
      <c r="B4" s="652"/>
      <c r="C4" s="652"/>
      <c r="D4" s="652"/>
      <c r="E4" s="652"/>
      <c r="F4" s="652"/>
      <c r="G4" s="652"/>
      <c r="H4" s="652"/>
      <c r="I4" s="652"/>
    </row>
    <row r="5" ht="15.75" thickBot="1"/>
    <row r="6" spans="1:9" s="619" customFormat="1" ht="18" customHeight="1" thickTop="1">
      <c r="A6" s="1351" t="s">
        <v>309</v>
      </c>
      <c r="B6" s="1353" t="s">
        <v>310</v>
      </c>
      <c r="C6" s="1353" t="s">
        <v>311</v>
      </c>
      <c r="D6" s="1353" t="s">
        <v>312</v>
      </c>
      <c r="E6" s="1353" t="s">
        <v>313</v>
      </c>
      <c r="F6" s="1355" t="s">
        <v>314</v>
      </c>
      <c r="G6" s="1355"/>
      <c r="H6" s="1355"/>
      <c r="I6" s="1356"/>
    </row>
    <row r="7" spans="1:9" s="619" customFormat="1" ht="21" customHeight="1">
      <c r="A7" s="1352"/>
      <c r="B7" s="1354"/>
      <c r="C7" s="1354"/>
      <c r="D7" s="1354"/>
      <c r="E7" s="1354"/>
      <c r="F7" s="620" t="s">
        <v>315</v>
      </c>
      <c r="G7" s="620" t="s">
        <v>316</v>
      </c>
      <c r="H7" s="620" t="s">
        <v>317</v>
      </c>
      <c r="I7" s="621" t="s">
        <v>318</v>
      </c>
    </row>
    <row r="8" spans="1:9" ht="18" customHeight="1">
      <c r="A8" s="622" t="s">
        <v>319</v>
      </c>
      <c r="B8" s="623">
        <v>37084</v>
      </c>
      <c r="C8" s="623">
        <v>56438</v>
      </c>
      <c r="D8" s="623">
        <v>68543</v>
      </c>
      <c r="E8" s="623">
        <v>84102</v>
      </c>
      <c r="F8" s="624">
        <v>152.1896235573293</v>
      </c>
      <c r="G8" s="624">
        <v>121.44831496509445</v>
      </c>
      <c r="H8" s="624">
        <f>E8/D8*100</f>
        <v>122.69961921713377</v>
      </c>
      <c r="I8" s="625">
        <f>E8/B8*100</f>
        <v>226.78783302772084</v>
      </c>
    </row>
    <row r="9" spans="1:9" ht="18" customHeight="1">
      <c r="A9" s="626" t="s">
        <v>320</v>
      </c>
      <c r="B9" s="627">
        <v>6877374</v>
      </c>
      <c r="C9" s="627">
        <v>49347387</v>
      </c>
      <c r="D9" s="627">
        <v>51102714</v>
      </c>
      <c r="E9" s="627">
        <v>52381304</v>
      </c>
      <c r="F9" s="628">
        <v>717.5324040833027</v>
      </c>
      <c r="G9" s="628">
        <v>103.5570819585645</v>
      </c>
      <c r="H9" s="628">
        <f aca="true" t="shared" si="0" ref="H9:H24">E9/D9*100</f>
        <v>102.50200018730904</v>
      </c>
      <c r="I9" s="629">
        <f aca="true" t="shared" si="1" ref="I9:I24">E9/B9*100</f>
        <v>761.646872774405</v>
      </c>
    </row>
    <row r="10" spans="1:9" ht="18" customHeight="1">
      <c r="A10" s="630" t="s">
        <v>321</v>
      </c>
      <c r="B10" s="631">
        <v>4825868</v>
      </c>
      <c r="C10" s="631">
        <v>48006417</v>
      </c>
      <c r="D10" s="631">
        <v>48239868</v>
      </c>
      <c r="E10" s="631">
        <v>49896522</v>
      </c>
      <c r="F10" s="628">
        <v>994.7726916691463</v>
      </c>
      <c r="G10" s="628">
        <v>100.48629123894</v>
      </c>
      <c r="H10" s="628">
        <f t="shared" si="0"/>
        <v>103.4342009393558</v>
      </c>
      <c r="I10" s="629">
        <f t="shared" si="1"/>
        <v>1033.9388064489124</v>
      </c>
    </row>
    <row r="11" spans="1:9" ht="18" customHeight="1">
      <c r="A11" s="632" t="s">
        <v>322</v>
      </c>
      <c r="B11" s="631">
        <v>1378048</v>
      </c>
      <c r="C11" s="631">
        <v>596084</v>
      </c>
      <c r="D11" s="631">
        <v>2009505</v>
      </c>
      <c r="E11" s="631">
        <v>1695316</v>
      </c>
      <c r="F11" s="628">
        <v>43.25567759613598</v>
      </c>
      <c r="G11" s="628">
        <v>337.11775521570786</v>
      </c>
      <c r="H11" s="628">
        <f t="shared" si="0"/>
        <v>84.36485602175661</v>
      </c>
      <c r="I11" s="629">
        <f t="shared" si="1"/>
        <v>123.02300065019507</v>
      </c>
    </row>
    <row r="12" spans="1:9" ht="18" customHeight="1">
      <c r="A12" s="626" t="s">
        <v>323</v>
      </c>
      <c r="B12" s="627">
        <v>422104</v>
      </c>
      <c r="C12" s="627">
        <v>348597</v>
      </c>
      <c r="D12" s="627">
        <v>821315</v>
      </c>
      <c r="E12" s="627">
        <v>1123222</v>
      </c>
      <c r="F12" s="628">
        <v>82.585571328393</v>
      </c>
      <c r="G12" s="628">
        <v>235.60587153647336</v>
      </c>
      <c r="H12" s="628">
        <f t="shared" si="0"/>
        <v>136.75897798043383</v>
      </c>
      <c r="I12" s="629">
        <f t="shared" si="1"/>
        <v>266.10077137387947</v>
      </c>
    </row>
    <row r="13" spans="1:9" ht="18" customHeight="1">
      <c r="A13" s="626" t="s">
        <v>324</v>
      </c>
      <c r="B13" s="627">
        <v>9144547</v>
      </c>
      <c r="C13" s="627">
        <v>10842645</v>
      </c>
      <c r="D13" s="627">
        <v>11493550</v>
      </c>
      <c r="E13" s="627">
        <v>11724148</v>
      </c>
      <c r="F13" s="628">
        <v>118.56951470641465</v>
      </c>
      <c r="G13" s="628">
        <v>106.0031938701304</v>
      </c>
      <c r="H13" s="628">
        <f t="shared" si="0"/>
        <v>102.00632528679128</v>
      </c>
      <c r="I13" s="629">
        <f t="shared" si="1"/>
        <v>128.209172089115</v>
      </c>
    </row>
    <row r="14" spans="1:9" ht="18" customHeight="1">
      <c r="A14" s="626" t="s">
        <v>325</v>
      </c>
      <c r="B14" s="631">
        <v>16481109</v>
      </c>
      <c r="C14" s="631">
        <v>60595067</v>
      </c>
      <c r="D14" s="631">
        <v>63486122</v>
      </c>
      <c r="E14" s="631">
        <f>SUM(E12:E13)+E8+E9</f>
        <v>65312776</v>
      </c>
      <c r="F14" s="628">
        <v>367.6637718978741</v>
      </c>
      <c r="G14" s="628">
        <v>104.77110620242402</v>
      </c>
      <c r="H14" s="628">
        <f t="shared" si="0"/>
        <v>102.8772492986735</v>
      </c>
      <c r="I14" s="629">
        <f t="shared" si="1"/>
        <v>396.28872061946805</v>
      </c>
    </row>
    <row r="15" spans="1:9" ht="18" customHeight="1">
      <c r="A15" s="626" t="s">
        <v>326</v>
      </c>
      <c r="B15" s="631">
        <v>4629829</v>
      </c>
      <c r="C15" s="631">
        <v>1244955</v>
      </c>
      <c r="D15" s="631">
        <v>1858560</v>
      </c>
      <c r="E15" s="631">
        <v>1775372</v>
      </c>
      <c r="F15" s="628">
        <v>26.88987001463769</v>
      </c>
      <c r="G15" s="628">
        <v>149.2873236382038</v>
      </c>
      <c r="H15" s="628">
        <f t="shared" si="0"/>
        <v>95.52406163911846</v>
      </c>
      <c r="I15" s="629">
        <f t="shared" si="1"/>
        <v>38.346383851325825</v>
      </c>
    </row>
    <row r="16" spans="1:9" ht="18" customHeight="1">
      <c r="A16" s="630" t="s">
        <v>327</v>
      </c>
      <c r="B16" s="631">
        <v>516991</v>
      </c>
      <c r="C16" s="631">
        <v>483651</v>
      </c>
      <c r="D16" s="631">
        <v>879296</v>
      </c>
      <c r="E16" s="631">
        <v>479110</v>
      </c>
      <c r="F16" s="628">
        <v>93.5511449909186</v>
      </c>
      <c r="G16" s="628">
        <v>181.80382135051929</v>
      </c>
      <c r="H16" s="628">
        <f t="shared" si="0"/>
        <v>54.48790850862508</v>
      </c>
      <c r="I16" s="629">
        <f t="shared" si="1"/>
        <v>92.67279314340094</v>
      </c>
    </row>
    <row r="17" spans="1:9" ht="18" customHeight="1">
      <c r="A17" s="633" t="s">
        <v>328</v>
      </c>
      <c r="B17" s="634">
        <v>1046539</v>
      </c>
      <c r="C17" s="634">
        <v>193202</v>
      </c>
      <c r="D17" s="634">
        <v>529974</v>
      </c>
      <c r="E17" s="634">
        <v>748564</v>
      </c>
      <c r="F17" s="635">
        <v>18.46104158564564</v>
      </c>
      <c r="G17" s="635">
        <v>274.3108249397004</v>
      </c>
      <c r="H17" s="635">
        <f t="shared" si="0"/>
        <v>141.2454195866212</v>
      </c>
      <c r="I17" s="636">
        <f t="shared" si="1"/>
        <v>71.52757804534757</v>
      </c>
    </row>
    <row r="18" spans="1:9" s="642" customFormat="1" ht="18" customHeight="1">
      <c r="A18" s="637" t="s">
        <v>329</v>
      </c>
      <c r="B18" s="638">
        <v>21110938</v>
      </c>
      <c r="C18" s="638">
        <v>61840022</v>
      </c>
      <c r="D18" s="638">
        <v>65344682</v>
      </c>
      <c r="E18" s="638">
        <f>SUM(E14:E15)</f>
        <v>67088148</v>
      </c>
      <c r="F18" s="639">
        <v>292.9288220163405</v>
      </c>
      <c r="G18" s="639">
        <v>105.66730070050751</v>
      </c>
      <c r="H18" s="640">
        <f t="shared" si="0"/>
        <v>102.66810694709632</v>
      </c>
      <c r="I18" s="641">
        <f t="shared" si="1"/>
        <v>317.7885700768009</v>
      </c>
    </row>
    <row r="19" spans="1:9" ht="18" customHeight="1">
      <c r="A19" s="622" t="s">
        <v>330</v>
      </c>
      <c r="B19" s="643">
        <v>16241324</v>
      </c>
      <c r="C19" s="643">
        <v>58120497</v>
      </c>
      <c r="D19" s="643">
        <v>60136616</v>
      </c>
      <c r="E19" s="643">
        <v>60752406</v>
      </c>
      <c r="F19" s="624">
        <v>357.8556588120525</v>
      </c>
      <c r="G19" s="624">
        <v>103.46886056394185</v>
      </c>
      <c r="H19" s="624">
        <f t="shared" si="0"/>
        <v>101.02398512081226</v>
      </c>
      <c r="I19" s="625">
        <f t="shared" si="1"/>
        <v>374.0606738711696</v>
      </c>
    </row>
    <row r="20" spans="1:9" ht="18" customHeight="1">
      <c r="A20" s="626" t="s">
        <v>331</v>
      </c>
      <c r="B20" s="631">
        <v>723904</v>
      </c>
      <c r="C20" s="631">
        <v>58933</v>
      </c>
      <c r="D20" s="631">
        <v>216057</v>
      </c>
      <c r="E20" s="631">
        <v>474817</v>
      </c>
      <c r="F20" s="628">
        <v>8.140996596233755</v>
      </c>
      <c r="G20" s="628">
        <v>366.6146301732476</v>
      </c>
      <c r="H20" s="628">
        <f t="shared" si="0"/>
        <v>219.76469172486892</v>
      </c>
      <c r="I20" s="629">
        <f t="shared" si="1"/>
        <v>65.59115573335691</v>
      </c>
    </row>
    <row r="21" spans="1:9" ht="18" customHeight="1">
      <c r="A21" s="626" t="s">
        <v>332</v>
      </c>
      <c r="B21" s="631">
        <v>4145710</v>
      </c>
      <c r="C21" s="631">
        <v>3660592</v>
      </c>
      <c r="D21" s="631">
        <v>4992009</v>
      </c>
      <c r="E21" s="631">
        <v>5860925</v>
      </c>
      <c r="F21" s="628">
        <v>88.29831319605086</v>
      </c>
      <c r="G21" s="628">
        <v>136.3716305996407</v>
      </c>
      <c r="H21" s="628">
        <f t="shared" si="0"/>
        <v>117.40613849053558</v>
      </c>
      <c r="I21" s="629">
        <f t="shared" si="1"/>
        <v>141.3732509027404</v>
      </c>
    </row>
    <row r="22" spans="1:9" ht="18" customHeight="1">
      <c r="A22" s="630" t="s">
        <v>333</v>
      </c>
      <c r="B22" s="631">
        <v>2164414</v>
      </c>
      <c r="C22" s="631">
        <v>1814542</v>
      </c>
      <c r="D22" s="631">
        <v>2749549</v>
      </c>
      <c r="E22" s="631">
        <v>2830130</v>
      </c>
      <c r="F22" s="628">
        <v>83.8352551776139</v>
      </c>
      <c r="G22" s="628">
        <v>151.52853998419437</v>
      </c>
      <c r="H22" s="628">
        <f t="shared" si="0"/>
        <v>102.93069881642407</v>
      </c>
      <c r="I22" s="629">
        <f t="shared" si="1"/>
        <v>130.75733200764734</v>
      </c>
    </row>
    <row r="23" spans="1:9" ht="18" customHeight="1">
      <c r="A23" s="633" t="s">
        <v>334</v>
      </c>
      <c r="B23" s="634">
        <v>1183699</v>
      </c>
      <c r="C23" s="634">
        <v>1177363</v>
      </c>
      <c r="D23" s="634">
        <v>1512061</v>
      </c>
      <c r="E23" s="634">
        <v>2346895</v>
      </c>
      <c r="F23" s="635">
        <v>99.46472878662566</v>
      </c>
      <c r="G23" s="635">
        <v>128.4277661180112</v>
      </c>
      <c r="H23" s="635">
        <f t="shared" si="0"/>
        <v>155.211661434294</v>
      </c>
      <c r="I23" s="636">
        <f t="shared" si="1"/>
        <v>198.26788735987782</v>
      </c>
    </row>
    <row r="24" spans="1:9" s="642" customFormat="1" ht="18" customHeight="1" thickBot="1">
      <c r="A24" s="644" t="s">
        <v>335</v>
      </c>
      <c r="B24" s="645">
        <v>21110938</v>
      </c>
      <c r="C24" s="645">
        <v>61840022</v>
      </c>
      <c r="D24" s="645">
        <v>65344682</v>
      </c>
      <c r="E24" s="645">
        <f>SUM(E19:E21)</f>
        <v>67088148</v>
      </c>
      <c r="F24" s="646">
        <v>292.9288220163405</v>
      </c>
      <c r="G24" s="646">
        <v>105.66730070050751</v>
      </c>
      <c r="H24" s="647">
        <f t="shared" si="0"/>
        <v>102.66810694709632</v>
      </c>
      <c r="I24" s="648">
        <f t="shared" si="1"/>
        <v>317.7885700768009</v>
      </c>
    </row>
    <row r="25" spans="1:9" s="642" customFormat="1" ht="18" customHeight="1" thickTop="1">
      <c r="A25" s="649"/>
      <c r="B25" s="650"/>
      <c r="C25" s="650"/>
      <c r="D25" s="650"/>
      <c r="E25" s="650"/>
      <c r="F25" s="651"/>
      <c r="G25" s="651"/>
      <c r="H25" s="651"/>
      <c r="I25" s="651"/>
    </row>
    <row r="26" spans="1:9" ht="18" customHeight="1">
      <c r="A26" s="1347" t="s">
        <v>336</v>
      </c>
      <c r="B26" s="1348"/>
      <c r="C26" s="1348"/>
      <c r="D26" s="1348"/>
      <c r="E26" s="1348"/>
      <c r="F26" s="1348"/>
      <c r="G26" s="1348"/>
      <c r="H26" s="1348"/>
      <c r="I26" s="1349"/>
    </row>
  </sheetData>
  <mergeCells count="8">
    <mergeCell ref="A26:I26"/>
    <mergeCell ref="A3:I3"/>
    <mergeCell ref="A6:A7"/>
    <mergeCell ref="B6:B7"/>
    <mergeCell ref="C6:C7"/>
    <mergeCell ref="D6:D7"/>
    <mergeCell ref="E6:E7"/>
    <mergeCell ref="F6:I6"/>
  </mergeCells>
  <printOptions/>
  <pageMargins left="0.75" right="0.75" top="1" bottom="1" header="0.5" footer="0.5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1"/>
  <sheetViews>
    <sheetView zoomScale="85" zoomScaleNormal="85" workbookViewId="0" topLeftCell="A1">
      <selection activeCell="F28" sqref="F28"/>
    </sheetView>
  </sheetViews>
  <sheetFormatPr defaultColWidth="9.140625" defaultRowHeight="12.75"/>
  <cols>
    <col min="1" max="1" width="15.57421875" style="821" bestFit="1" customWidth="1"/>
    <col min="2" max="2" width="21.28125" style="0" bestFit="1" customWidth="1"/>
    <col min="3" max="3" width="32.28125" style="0" bestFit="1" customWidth="1"/>
    <col min="4" max="4" width="21.57421875" style="825" bestFit="1" customWidth="1"/>
    <col min="5" max="5" width="36.00390625" style="0" customWidth="1"/>
    <col min="6" max="6" width="44.8515625" style="0" customWidth="1"/>
  </cols>
  <sheetData>
    <row r="1" spans="1:6" s="805" customFormat="1" ht="16.5" thickBot="1">
      <c r="A1" s="802" t="s">
        <v>353</v>
      </c>
      <c r="B1" s="803" t="s">
        <v>354</v>
      </c>
      <c r="C1" s="803" t="s">
        <v>355</v>
      </c>
      <c r="D1" s="804" t="s">
        <v>356</v>
      </c>
      <c r="E1" s="803" t="s">
        <v>357</v>
      </c>
      <c r="F1" s="803" t="s">
        <v>358</v>
      </c>
    </row>
    <row r="2" spans="1:6" ht="30">
      <c r="A2" s="806" t="s">
        <v>359</v>
      </c>
      <c r="B2" s="807" t="s">
        <v>360</v>
      </c>
      <c r="C2" s="807" t="s">
        <v>361</v>
      </c>
      <c r="D2" s="808">
        <v>100000000</v>
      </c>
      <c r="E2" s="809" t="s">
        <v>362</v>
      </c>
      <c r="F2" s="810"/>
    </row>
    <row r="3" spans="1:6" ht="30">
      <c r="A3" s="806" t="s">
        <v>363</v>
      </c>
      <c r="B3" s="811" t="s">
        <v>364</v>
      </c>
      <c r="C3" s="811" t="s">
        <v>361</v>
      </c>
      <c r="D3" s="812">
        <v>100000000</v>
      </c>
      <c r="E3" s="813" t="s">
        <v>362</v>
      </c>
      <c r="F3" s="814"/>
    </row>
    <row r="4" spans="1:6" ht="30">
      <c r="A4" s="806" t="s">
        <v>365</v>
      </c>
      <c r="B4" s="811" t="s">
        <v>366</v>
      </c>
      <c r="C4" s="811" t="s">
        <v>361</v>
      </c>
      <c r="D4" s="812">
        <v>29474399</v>
      </c>
      <c r="E4" s="813" t="s">
        <v>367</v>
      </c>
      <c r="F4" s="814"/>
    </row>
    <row r="5" spans="1:6" ht="15">
      <c r="A5" s="806" t="s">
        <v>368</v>
      </c>
      <c r="B5" s="811" t="s">
        <v>369</v>
      </c>
      <c r="C5" s="811" t="s">
        <v>361</v>
      </c>
      <c r="D5" s="812">
        <v>119000000</v>
      </c>
      <c r="E5" s="813" t="s">
        <v>370</v>
      </c>
      <c r="F5" s="815" t="s">
        <v>371</v>
      </c>
    </row>
    <row r="6" spans="1:6" ht="45">
      <c r="A6" s="806" t="s">
        <v>372</v>
      </c>
      <c r="B6" s="811" t="s">
        <v>373</v>
      </c>
      <c r="C6" s="811" t="s">
        <v>374</v>
      </c>
      <c r="D6" s="812">
        <v>688500000</v>
      </c>
      <c r="E6" s="813" t="s">
        <v>375</v>
      </c>
      <c r="F6" s="815" t="s">
        <v>376</v>
      </c>
    </row>
    <row r="7" spans="1:6" ht="45">
      <c r="A7" s="806" t="s">
        <v>377</v>
      </c>
      <c r="B7" s="811" t="s">
        <v>373</v>
      </c>
      <c r="C7" s="811" t="s">
        <v>374</v>
      </c>
      <c r="D7" s="812">
        <v>688500000</v>
      </c>
      <c r="E7" s="813" t="s">
        <v>375</v>
      </c>
      <c r="F7" s="815" t="s">
        <v>376</v>
      </c>
    </row>
    <row r="8" spans="1:6" ht="45">
      <c r="A8" s="806" t="s">
        <v>378</v>
      </c>
      <c r="B8" s="811" t="s">
        <v>373</v>
      </c>
      <c r="C8" s="811" t="s">
        <v>374</v>
      </c>
      <c r="D8" s="812">
        <v>688500000</v>
      </c>
      <c r="E8" s="813" t="s">
        <v>375</v>
      </c>
      <c r="F8" s="815" t="s">
        <v>376</v>
      </c>
    </row>
    <row r="9" spans="1:6" ht="30">
      <c r="A9" s="806">
        <v>9733</v>
      </c>
      <c r="B9" s="811" t="s">
        <v>379</v>
      </c>
      <c r="C9" s="811" t="s">
        <v>361</v>
      </c>
      <c r="D9" s="812">
        <v>258262000</v>
      </c>
      <c r="E9" s="813" t="s">
        <v>380</v>
      </c>
      <c r="F9" s="815" t="s">
        <v>381</v>
      </c>
    </row>
    <row r="10" spans="1:6" ht="30">
      <c r="A10" s="806" t="s">
        <v>382</v>
      </c>
      <c r="B10" s="811" t="s">
        <v>383</v>
      </c>
      <c r="C10" s="811" t="s">
        <v>361</v>
      </c>
      <c r="D10" s="812">
        <v>100000000</v>
      </c>
      <c r="E10" s="813" t="s">
        <v>362</v>
      </c>
      <c r="F10" s="814"/>
    </row>
    <row r="11" spans="1:6" ht="30">
      <c r="A11" s="806" t="s">
        <v>384</v>
      </c>
      <c r="B11" s="811" t="s">
        <v>383</v>
      </c>
      <c r="C11" s="811" t="s">
        <v>361</v>
      </c>
      <c r="D11" s="812">
        <v>100000000</v>
      </c>
      <c r="E11" s="813" t="s">
        <v>362</v>
      </c>
      <c r="F11" s="814"/>
    </row>
    <row r="12" spans="1:6" ht="30">
      <c r="A12" s="806" t="s">
        <v>385</v>
      </c>
      <c r="B12" s="811" t="s">
        <v>383</v>
      </c>
      <c r="C12" s="811" t="s">
        <v>361</v>
      </c>
      <c r="D12" s="812">
        <v>100000000</v>
      </c>
      <c r="E12" s="813" t="s">
        <v>362</v>
      </c>
      <c r="F12" s="814"/>
    </row>
    <row r="13" spans="1:6" ht="30">
      <c r="A13" s="806" t="s">
        <v>386</v>
      </c>
      <c r="B13" s="811" t="s">
        <v>383</v>
      </c>
      <c r="C13" s="811" t="s">
        <v>361</v>
      </c>
      <c r="D13" s="812">
        <v>100000000</v>
      </c>
      <c r="E13" s="813" t="s">
        <v>362</v>
      </c>
      <c r="F13" s="814"/>
    </row>
    <row r="14" spans="1:6" ht="30">
      <c r="A14" s="806" t="s">
        <v>387</v>
      </c>
      <c r="B14" s="811" t="s">
        <v>383</v>
      </c>
      <c r="C14" s="811" t="s">
        <v>361</v>
      </c>
      <c r="D14" s="812">
        <v>100000000</v>
      </c>
      <c r="E14" s="813" t="s">
        <v>362</v>
      </c>
      <c r="F14" s="814"/>
    </row>
    <row r="15" spans="1:6" ht="30">
      <c r="A15" s="806" t="s">
        <v>388</v>
      </c>
      <c r="B15" s="811" t="s">
        <v>383</v>
      </c>
      <c r="C15" s="811" t="s">
        <v>361</v>
      </c>
      <c r="D15" s="812">
        <v>100000000</v>
      </c>
      <c r="E15" s="813" t="s">
        <v>362</v>
      </c>
      <c r="F15" s="814"/>
    </row>
    <row r="16" spans="1:6" ht="30">
      <c r="A16" s="806" t="s">
        <v>391</v>
      </c>
      <c r="B16" s="811" t="s">
        <v>383</v>
      </c>
      <c r="C16" s="811" t="s">
        <v>361</v>
      </c>
      <c r="D16" s="812">
        <v>100000000</v>
      </c>
      <c r="E16" s="813" t="s">
        <v>362</v>
      </c>
      <c r="F16" s="814"/>
    </row>
    <row r="17" spans="1:6" ht="30.75" thickBot="1">
      <c r="A17" s="816" t="s">
        <v>392</v>
      </c>
      <c r="B17" s="817" t="s">
        <v>383</v>
      </c>
      <c r="C17" s="817" t="s">
        <v>361</v>
      </c>
      <c r="D17" s="818">
        <v>100000000</v>
      </c>
      <c r="E17" s="819" t="s">
        <v>362</v>
      </c>
      <c r="F17" s="820"/>
    </row>
    <row r="18" spans="3:4" ht="16.5" thickBot="1">
      <c r="C18" s="822" t="s">
        <v>422</v>
      </c>
      <c r="D18" s="823">
        <f>SUM(D2:D17)</f>
        <v>3472236399</v>
      </c>
    </row>
    <row r="21" ht="12.75">
      <c r="B21" s="824"/>
    </row>
  </sheetData>
  <printOptions horizontalCentered="1"/>
  <pageMargins left="0.3937007874015748" right="0.3937007874015748" top="1.56" bottom="0.3937007874015748" header="0.87" footer="0.5118110236220472"/>
  <pageSetup horizontalDpi="600" verticalDpi="600" orientation="landscape" paperSize="9" scale="82" r:id="rId1"/>
  <headerFooter alignWithMargins="0">
    <oddHeader xml:space="preserve">&amp;C&amp;"Arial,Félkövér"&amp;14Szolnok Megyei Jogú Város Önkormányzatának jelzáloggal terhelt ingatlanai 2006.09.30-i állapot szerint&amp;R9. sz. melléklet 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E210"/>
  <sheetViews>
    <sheetView view="pageBreakPreview" zoomScale="60" zoomScaleNormal="75" workbookViewId="0" topLeftCell="A1">
      <selection activeCell="F28" sqref="F28"/>
    </sheetView>
  </sheetViews>
  <sheetFormatPr defaultColWidth="9.140625" defaultRowHeight="12.75"/>
  <cols>
    <col min="1" max="1" width="30.8515625" style="287" customWidth="1"/>
    <col min="2" max="3" width="18.28125" style="287" hidden="1" customWidth="1"/>
    <col min="4" max="4" width="9.8515625" style="287" customWidth="1"/>
    <col min="5" max="6" width="10.140625" style="287" customWidth="1"/>
    <col min="7" max="7" width="9.57421875" style="287" customWidth="1"/>
    <col min="8" max="8" width="9.421875" style="287" customWidth="1"/>
    <col min="9" max="9" width="9.57421875" style="287" customWidth="1"/>
    <col min="10" max="10" width="9.28125" style="287" customWidth="1"/>
    <col min="11" max="13" width="9.57421875" style="287" customWidth="1"/>
    <col min="14" max="14" width="9.28125" style="287" customWidth="1"/>
    <col min="15" max="15" width="9.57421875" style="287" customWidth="1"/>
    <col min="16" max="16" width="8.7109375" style="287" customWidth="1"/>
    <col min="17" max="17" width="9.140625" style="287" customWidth="1"/>
    <col min="18" max="18" width="9.7109375" style="287" customWidth="1"/>
    <col min="19" max="19" width="11.7109375" style="287" customWidth="1"/>
    <col min="20" max="20" width="18.140625" style="287" customWidth="1"/>
    <col min="21" max="21" width="24.140625" style="321" customWidth="1"/>
    <col min="22" max="22" width="10.28125" style="321" customWidth="1"/>
    <col min="23" max="16384" width="10.28125" style="287" customWidth="1"/>
  </cols>
  <sheetData>
    <row r="1" ht="21" customHeight="1">
      <c r="U1" s="672"/>
    </row>
    <row r="2" spans="1:21" ht="37.5" customHeight="1">
      <c r="A2" s="1361" t="s">
        <v>341</v>
      </c>
      <c r="B2" s="1361"/>
      <c r="C2" s="1361"/>
      <c r="D2" s="1361"/>
      <c r="E2" s="1361"/>
      <c r="F2" s="1361"/>
      <c r="G2" s="1361"/>
      <c r="H2" s="1361"/>
      <c r="I2" s="1361"/>
      <c r="J2" s="1361"/>
      <c r="K2" s="1361"/>
      <c r="L2" s="1361"/>
      <c r="M2" s="1361"/>
      <c r="N2" s="1361"/>
      <c r="O2" s="1361"/>
      <c r="P2" s="1361"/>
      <c r="Q2" s="1361"/>
      <c r="R2" s="1361"/>
      <c r="S2" s="1361"/>
      <c r="T2" s="1361"/>
      <c r="U2" s="1361"/>
    </row>
    <row r="3" spans="1:18" ht="21" customHeigh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</row>
    <row r="4" spans="18:21" ht="21" customHeight="1" thickBot="1">
      <c r="R4" s="1362" t="s">
        <v>673</v>
      </c>
      <c r="S4" s="1362"/>
      <c r="T4" s="1362"/>
      <c r="U4" s="1362"/>
    </row>
    <row r="5" spans="1:21" ht="37.5" customHeight="1" thickTop="1">
      <c r="A5" s="1357" t="s">
        <v>604</v>
      </c>
      <c r="B5" s="653"/>
      <c r="C5" s="653"/>
      <c r="D5" s="1359" t="s">
        <v>674</v>
      </c>
      <c r="E5" s="1359"/>
      <c r="F5" s="1360" t="s">
        <v>675</v>
      </c>
      <c r="G5" s="1360"/>
      <c r="H5" s="1360"/>
      <c r="I5" s="1360"/>
      <c r="J5" s="1359" t="s">
        <v>676</v>
      </c>
      <c r="K5" s="1359"/>
      <c r="L5" s="1360" t="s">
        <v>675</v>
      </c>
      <c r="M5" s="1360"/>
      <c r="N5" s="1360"/>
      <c r="O5" s="1360"/>
      <c r="P5" s="1359" t="s">
        <v>677</v>
      </c>
      <c r="Q5" s="1359"/>
      <c r="R5" s="1363" t="s">
        <v>342</v>
      </c>
      <c r="S5" s="1363"/>
      <c r="T5" s="1363"/>
      <c r="U5" s="1364"/>
    </row>
    <row r="6" spans="1:21" ht="51.75" customHeight="1" thickBot="1">
      <c r="A6" s="1358"/>
      <c r="B6" s="654"/>
      <c r="C6" s="654"/>
      <c r="D6" s="655">
        <v>2005</v>
      </c>
      <c r="E6" s="655">
        <v>2006</v>
      </c>
      <c r="F6" s="656" t="s">
        <v>343</v>
      </c>
      <c r="G6" s="656" t="s">
        <v>344</v>
      </c>
      <c r="H6" s="656" t="s">
        <v>345</v>
      </c>
      <c r="I6" s="656" t="s">
        <v>346</v>
      </c>
      <c r="J6" s="655">
        <v>2005</v>
      </c>
      <c r="K6" s="655">
        <v>2006</v>
      </c>
      <c r="L6" s="656" t="s">
        <v>343</v>
      </c>
      <c r="M6" s="656" t="s">
        <v>344</v>
      </c>
      <c r="N6" s="656" t="s">
        <v>345</v>
      </c>
      <c r="O6" s="656" t="s">
        <v>346</v>
      </c>
      <c r="P6" s="655">
        <v>2005</v>
      </c>
      <c r="Q6" s="655">
        <v>2006</v>
      </c>
      <c r="R6" s="655" t="s">
        <v>347</v>
      </c>
      <c r="S6" s="655" t="s">
        <v>348</v>
      </c>
      <c r="T6" s="655" t="s">
        <v>349</v>
      </c>
      <c r="U6" s="657" t="s">
        <v>350</v>
      </c>
    </row>
    <row r="7" spans="1:21" ht="21" customHeight="1" thickTop="1">
      <c r="A7" s="300" t="s">
        <v>681</v>
      </c>
      <c r="B7" s="301"/>
      <c r="C7" s="301"/>
      <c r="D7" s="301">
        <f>537+15</f>
        <v>552</v>
      </c>
      <c r="E7" s="301">
        <v>523</v>
      </c>
      <c r="F7" s="301">
        <v>552</v>
      </c>
      <c r="G7" s="301">
        <v>523</v>
      </c>
      <c r="H7" s="301"/>
      <c r="I7" s="301"/>
      <c r="J7" s="301">
        <v>5</v>
      </c>
      <c r="K7" s="301">
        <v>2</v>
      </c>
      <c r="L7" s="301">
        <v>5</v>
      </c>
      <c r="M7" s="301">
        <v>2</v>
      </c>
      <c r="N7" s="301"/>
      <c r="O7" s="301"/>
      <c r="P7" s="301"/>
      <c r="Q7" s="301"/>
      <c r="R7" s="301">
        <f aca="true" t="shared" si="0" ref="R7:R45">L7+P7</f>
        <v>5</v>
      </c>
      <c r="S7" s="301">
        <f aca="true" t="shared" si="1" ref="S7:S45">M7+Q7</f>
        <v>2</v>
      </c>
      <c r="T7" s="301"/>
      <c r="U7" s="658"/>
    </row>
    <row r="8" spans="1:21" ht="21" customHeight="1">
      <c r="A8" s="303" t="s">
        <v>682</v>
      </c>
      <c r="B8" s="304"/>
      <c r="C8" s="304"/>
      <c r="D8" s="304">
        <f>680+4</f>
        <v>684</v>
      </c>
      <c r="E8" s="304">
        <v>659</v>
      </c>
      <c r="F8" s="304">
        <v>684</v>
      </c>
      <c r="G8" s="304">
        <v>659</v>
      </c>
      <c r="H8" s="304"/>
      <c r="I8" s="304"/>
      <c r="J8" s="304">
        <v>22</v>
      </c>
      <c r="K8" s="304">
        <v>21</v>
      </c>
      <c r="L8" s="304">
        <v>22</v>
      </c>
      <c r="M8" s="304">
        <v>21</v>
      </c>
      <c r="N8" s="304"/>
      <c r="O8" s="304"/>
      <c r="P8" s="304"/>
      <c r="Q8" s="304"/>
      <c r="R8" s="304">
        <f t="shared" si="0"/>
        <v>22</v>
      </c>
      <c r="S8" s="304">
        <f t="shared" si="1"/>
        <v>21</v>
      </c>
      <c r="T8" s="659">
        <f aca="true" t="shared" si="2" ref="T8:T45">R8/F8*100</f>
        <v>3.216374269005848</v>
      </c>
      <c r="U8" s="659">
        <f aca="true" t="shared" si="3" ref="U8:U45">S8/G8*100</f>
        <v>3.1866464339908953</v>
      </c>
    </row>
    <row r="9" spans="1:21" ht="21" customHeight="1">
      <c r="A9" s="303" t="s">
        <v>684</v>
      </c>
      <c r="B9" s="304"/>
      <c r="C9" s="304"/>
      <c r="D9" s="304">
        <f>615+4</f>
        <v>619</v>
      </c>
      <c r="E9" s="304">
        <v>621</v>
      </c>
      <c r="F9" s="304">
        <v>619</v>
      </c>
      <c r="G9" s="304">
        <v>621</v>
      </c>
      <c r="H9" s="304"/>
      <c r="I9" s="304"/>
      <c r="J9" s="304">
        <v>30</v>
      </c>
      <c r="K9" s="304">
        <v>27</v>
      </c>
      <c r="L9" s="304">
        <v>30</v>
      </c>
      <c r="M9" s="304">
        <v>27</v>
      </c>
      <c r="N9" s="304"/>
      <c r="O9" s="304"/>
      <c r="P9" s="304"/>
      <c r="Q9" s="304"/>
      <c r="R9" s="304">
        <f t="shared" si="0"/>
        <v>30</v>
      </c>
      <c r="S9" s="304">
        <f t="shared" si="1"/>
        <v>27</v>
      </c>
      <c r="T9" s="659">
        <f t="shared" si="2"/>
        <v>4.846526655896607</v>
      </c>
      <c r="U9" s="659">
        <f t="shared" si="3"/>
        <v>4.3478260869565215</v>
      </c>
    </row>
    <row r="10" spans="1:21" ht="21" customHeight="1">
      <c r="A10" s="310" t="s">
        <v>685</v>
      </c>
      <c r="B10" s="311"/>
      <c r="C10" s="311"/>
      <c r="D10" s="311">
        <f>561+21</f>
        <v>582</v>
      </c>
      <c r="E10" s="311">
        <v>591</v>
      </c>
      <c r="F10" s="311">
        <v>582</v>
      </c>
      <c r="G10" s="311">
        <v>591</v>
      </c>
      <c r="H10" s="311"/>
      <c r="I10" s="311"/>
      <c r="J10" s="311">
        <v>21</v>
      </c>
      <c r="K10" s="311">
        <v>12</v>
      </c>
      <c r="L10" s="311">
        <v>21</v>
      </c>
      <c r="M10" s="311">
        <v>12</v>
      </c>
      <c r="N10" s="311"/>
      <c r="O10" s="311"/>
      <c r="P10" s="311"/>
      <c r="Q10" s="311"/>
      <c r="R10" s="311">
        <f t="shared" si="0"/>
        <v>21</v>
      </c>
      <c r="S10" s="311">
        <f t="shared" si="1"/>
        <v>12</v>
      </c>
      <c r="T10" s="660">
        <f t="shared" si="2"/>
        <v>3.608247422680412</v>
      </c>
      <c r="U10" s="660">
        <f t="shared" si="3"/>
        <v>2.030456852791878</v>
      </c>
    </row>
    <row r="11" spans="1:21" ht="21" customHeight="1" thickBot="1">
      <c r="A11" s="661" t="s">
        <v>686</v>
      </c>
      <c r="B11" s="662"/>
      <c r="C11" s="662"/>
      <c r="D11" s="662">
        <f aca="true" t="shared" si="4" ref="D11:Q11">SUM(D7:D10)</f>
        <v>2437</v>
      </c>
      <c r="E11" s="662">
        <f t="shared" si="4"/>
        <v>2394</v>
      </c>
      <c r="F11" s="662">
        <f t="shared" si="4"/>
        <v>2437</v>
      </c>
      <c r="G11" s="662">
        <f t="shared" si="4"/>
        <v>2394</v>
      </c>
      <c r="H11" s="662">
        <f t="shared" si="4"/>
        <v>0</v>
      </c>
      <c r="I11" s="662">
        <f t="shared" si="4"/>
        <v>0</v>
      </c>
      <c r="J11" s="662">
        <f t="shared" si="4"/>
        <v>78</v>
      </c>
      <c r="K11" s="662">
        <f t="shared" si="4"/>
        <v>62</v>
      </c>
      <c r="L11" s="662">
        <f t="shared" si="4"/>
        <v>78</v>
      </c>
      <c r="M11" s="662">
        <f t="shared" si="4"/>
        <v>62</v>
      </c>
      <c r="N11" s="662">
        <f t="shared" si="4"/>
        <v>0</v>
      </c>
      <c r="O11" s="662">
        <f t="shared" si="4"/>
        <v>0</v>
      </c>
      <c r="P11" s="662">
        <f t="shared" si="4"/>
        <v>0</v>
      </c>
      <c r="Q11" s="662">
        <f t="shared" si="4"/>
        <v>0</v>
      </c>
      <c r="R11" s="662">
        <f t="shared" si="0"/>
        <v>78</v>
      </c>
      <c r="S11" s="662">
        <f t="shared" si="1"/>
        <v>62</v>
      </c>
      <c r="T11" s="663">
        <f t="shared" si="2"/>
        <v>3.200656544932294</v>
      </c>
      <c r="U11" s="663">
        <f t="shared" si="3"/>
        <v>2.5898078529657473</v>
      </c>
    </row>
    <row r="12" spans="1:21" ht="21" customHeight="1" thickTop="1">
      <c r="A12" s="313" t="s">
        <v>687</v>
      </c>
      <c r="B12" s="314">
        <v>313</v>
      </c>
      <c r="C12" s="314">
        <v>409</v>
      </c>
      <c r="D12" s="314">
        <f>SUM(B12:C12)+52</f>
        <v>774</v>
      </c>
      <c r="E12" s="314">
        <v>723</v>
      </c>
      <c r="F12" s="314">
        <v>774</v>
      </c>
      <c r="G12" s="314">
        <v>723</v>
      </c>
      <c r="H12" s="314"/>
      <c r="I12" s="314"/>
      <c r="J12" s="314">
        <v>65</v>
      </c>
      <c r="K12" s="314">
        <v>66</v>
      </c>
      <c r="L12" s="314">
        <v>65</v>
      </c>
      <c r="M12" s="314">
        <v>66</v>
      </c>
      <c r="N12" s="314"/>
      <c r="O12" s="314"/>
      <c r="P12" s="314"/>
      <c r="Q12" s="314"/>
      <c r="R12" s="314">
        <f t="shared" si="0"/>
        <v>65</v>
      </c>
      <c r="S12" s="314">
        <f t="shared" si="1"/>
        <v>66</v>
      </c>
      <c r="T12" s="664">
        <f t="shared" si="2"/>
        <v>8.397932816537468</v>
      </c>
      <c r="U12" s="664">
        <f t="shared" si="3"/>
        <v>9.12863070539419</v>
      </c>
    </row>
    <row r="13" spans="1:21" ht="21" customHeight="1">
      <c r="A13" s="303" t="s">
        <v>616</v>
      </c>
      <c r="B13" s="304"/>
      <c r="C13" s="304"/>
      <c r="D13" s="304">
        <f>SUM(B13:C13)</f>
        <v>0</v>
      </c>
      <c r="E13" s="304">
        <v>0</v>
      </c>
      <c r="F13" s="304">
        <v>0</v>
      </c>
      <c r="G13" s="304">
        <v>0</v>
      </c>
      <c r="H13" s="304"/>
      <c r="I13" s="304"/>
      <c r="J13" s="304"/>
      <c r="K13" s="304">
        <v>0</v>
      </c>
      <c r="L13" s="304"/>
      <c r="M13" s="304"/>
      <c r="N13" s="304"/>
      <c r="O13" s="304"/>
      <c r="P13" s="304"/>
      <c r="Q13" s="304"/>
      <c r="R13" s="304">
        <f t="shared" si="0"/>
        <v>0</v>
      </c>
      <c r="S13" s="304">
        <f t="shared" si="1"/>
        <v>0</v>
      </c>
      <c r="T13" s="659" t="e">
        <f t="shared" si="2"/>
        <v>#DIV/0!</v>
      </c>
      <c r="U13" s="659" t="e">
        <f t="shared" si="3"/>
        <v>#DIV/0!</v>
      </c>
    </row>
    <row r="14" spans="1:21" ht="21" customHeight="1">
      <c r="A14" s="303" t="s">
        <v>617</v>
      </c>
      <c r="B14" s="304">
        <v>286</v>
      </c>
      <c r="C14" s="304">
        <v>329</v>
      </c>
      <c r="D14" s="304">
        <f>SUM(B14:C14)+31</f>
        <v>646</v>
      </c>
      <c r="E14" s="304">
        <v>631</v>
      </c>
      <c r="F14" s="304">
        <v>646</v>
      </c>
      <c r="G14" s="304">
        <v>631</v>
      </c>
      <c r="H14" s="304"/>
      <c r="I14" s="304"/>
      <c r="J14" s="304">
        <v>72</v>
      </c>
      <c r="K14" s="304">
        <v>63</v>
      </c>
      <c r="L14" s="304">
        <v>72</v>
      </c>
      <c r="M14" s="304">
        <v>63</v>
      </c>
      <c r="N14" s="304"/>
      <c r="O14" s="304"/>
      <c r="P14" s="304"/>
      <c r="Q14" s="304"/>
      <c r="R14" s="304">
        <f t="shared" si="0"/>
        <v>72</v>
      </c>
      <c r="S14" s="304">
        <f t="shared" si="1"/>
        <v>63</v>
      </c>
      <c r="T14" s="659">
        <f t="shared" si="2"/>
        <v>11.145510835913312</v>
      </c>
      <c r="U14" s="659">
        <f t="shared" si="3"/>
        <v>9.984152139461171</v>
      </c>
    </row>
    <row r="15" spans="1:21" ht="21" customHeight="1">
      <c r="A15" s="303" t="s">
        <v>618</v>
      </c>
      <c r="B15" s="304">
        <v>195</v>
      </c>
      <c r="C15" s="304">
        <v>237</v>
      </c>
      <c r="D15" s="304">
        <f>SUM(B15:C15)+25</f>
        <v>457</v>
      </c>
      <c r="E15" s="304">
        <v>435</v>
      </c>
      <c r="F15" s="304">
        <v>457</v>
      </c>
      <c r="G15" s="304">
        <v>435</v>
      </c>
      <c r="H15" s="304"/>
      <c r="I15" s="304"/>
      <c r="J15" s="304">
        <v>16</v>
      </c>
      <c r="K15" s="304">
        <v>12</v>
      </c>
      <c r="L15" s="304">
        <v>16</v>
      </c>
      <c r="M15" s="304">
        <v>12</v>
      </c>
      <c r="N15" s="304"/>
      <c r="O15" s="304"/>
      <c r="P15" s="304"/>
      <c r="Q15" s="304"/>
      <c r="R15" s="304">
        <f t="shared" si="0"/>
        <v>16</v>
      </c>
      <c r="S15" s="304">
        <f t="shared" si="1"/>
        <v>12</v>
      </c>
      <c r="T15" s="659">
        <f t="shared" si="2"/>
        <v>3.50109409190372</v>
      </c>
      <c r="U15" s="659">
        <f t="shared" si="3"/>
        <v>2.7586206896551726</v>
      </c>
    </row>
    <row r="16" spans="1:21" ht="21" customHeight="1">
      <c r="A16" s="303" t="s">
        <v>619</v>
      </c>
      <c r="B16" s="304">
        <v>241</v>
      </c>
      <c r="C16" s="304">
        <v>247</v>
      </c>
      <c r="D16" s="304">
        <f>SUM(B16:C16)+12</f>
        <v>500</v>
      </c>
      <c r="E16" s="304">
        <v>501</v>
      </c>
      <c r="F16" s="304">
        <v>500</v>
      </c>
      <c r="G16" s="304">
        <v>501</v>
      </c>
      <c r="H16" s="304"/>
      <c r="I16" s="304"/>
      <c r="J16" s="304">
        <v>21</v>
      </c>
      <c r="K16" s="304">
        <v>25</v>
      </c>
      <c r="L16" s="304">
        <v>21</v>
      </c>
      <c r="M16" s="304">
        <v>25</v>
      </c>
      <c r="N16" s="304"/>
      <c r="O16" s="304"/>
      <c r="P16" s="304"/>
      <c r="Q16" s="304"/>
      <c r="R16" s="304">
        <f t="shared" si="0"/>
        <v>21</v>
      </c>
      <c r="S16" s="304">
        <f t="shared" si="1"/>
        <v>25</v>
      </c>
      <c r="T16" s="659">
        <f t="shared" si="2"/>
        <v>4.2</v>
      </c>
      <c r="U16" s="659">
        <f t="shared" si="3"/>
        <v>4.990019960079841</v>
      </c>
    </row>
    <row r="17" spans="1:21" ht="21" customHeight="1">
      <c r="A17" s="303" t="s">
        <v>688</v>
      </c>
      <c r="B17" s="304">
        <v>196</v>
      </c>
      <c r="C17" s="304">
        <v>293</v>
      </c>
      <c r="D17" s="304">
        <f>SUM(B17:C17)+39</f>
        <v>528</v>
      </c>
      <c r="E17" s="304">
        <v>509</v>
      </c>
      <c r="F17" s="304">
        <v>528</v>
      </c>
      <c r="G17" s="304">
        <v>509</v>
      </c>
      <c r="H17" s="304"/>
      <c r="I17" s="304"/>
      <c r="J17" s="304">
        <v>24</v>
      </c>
      <c r="K17" s="304">
        <v>22</v>
      </c>
      <c r="L17" s="304">
        <v>24</v>
      </c>
      <c r="M17" s="304">
        <v>22</v>
      </c>
      <c r="N17" s="304"/>
      <c r="O17" s="304"/>
      <c r="P17" s="304"/>
      <c r="Q17" s="304"/>
      <c r="R17" s="304">
        <f t="shared" si="0"/>
        <v>24</v>
      </c>
      <c r="S17" s="304">
        <f t="shared" si="1"/>
        <v>22</v>
      </c>
      <c r="T17" s="659">
        <f t="shared" si="2"/>
        <v>4.545454545454546</v>
      </c>
      <c r="U17" s="659">
        <f t="shared" si="3"/>
        <v>4.322200392927308</v>
      </c>
    </row>
    <row r="18" spans="1:21" ht="21" customHeight="1">
      <c r="A18" s="303" t="s">
        <v>621</v>
      </c>
      <c r="B18" s="304">
        <v>116</v>
      </c>
      <c r="C18" s="304">
        <v>110</v>
      </c>
      <c r="D18" s="304">
        <f>SUM(B18:C18)+49</f>
        <v>275</v>
      </c>
      <c r="E18" s="304">
        <v>255</v>
      </c>
      <c r="F18" s="304">
        <v>275</v>
      </c>
      <c r="G18" s="304">
        <v>255</v>
      </c>
      <c r="H18" s="304"/>
      <c r="I18" s="304"/>
      <c r="J18" s="304">
        <v>12</v>
      </c>
      <c r="K18" s="304">
        <v>10</v>
      </c>
      <c r="L18" s="304">
        <v>12</v>
      </c>
      <c r="M18" s="304">
        <v>10</v>
      </c>
      <c r="N18" s="304"/>
      <c r="O18" s="304"/>
      <c r="P18" s="304"/>
      <c r="Q18" s="304"/>
      <c r="R18" s="304">
        <f t="shared" si="0"/>
        <v>12</v>
      </c>
      <c r="S18" s="304">
        <f t="shared" si="1"/>
        <v>10</v>
      </c>
      <c r="T18" s="659">
        <f t="shared" si="2"/>
        <v>4.363636363636364</v>
      </c>
      <c r="U18" s="659">
        <f t="shared" si="3"/>
        <v>3.9215686274509802</v>
      </c>
    </row>
    <row r="19" spans="1:21" ht="21" customHeight="1">
      <c r="A19" s="303" t="s">
        <v>689</v>
      </c>
      <c r="B19" s="304">
        <v>233</v>
      </c>
      <c r="C19" s="304">
        <v>241</v>
      </c>
      <c r="D19" s="304">
        <f>SUM(B19:C19)+18</f>
        <v>492</v>
      </c>
      <c r="E19" s="304">
        <v>486</v>
      </c>
      <c r="F19" s="304">
        <v>492</v>
      </c>
      <c r="G19" s="304">
        <v>486</v>
      </c>
      <c r="H19" s="304"/>
      <c r="I19" s="304"/>
      <c r="J19" s="304">
        <v>35</v>
      </c>
      <c r="K19" s="304">
        <v>31</v>
      </c>
      <c r="L19" s="304">
        <v>35</v>
      </c>
      <c r="M19" s="304">
        <v>31</v>
      </c>
      <c r="N19" s="304"/>
      <c r="O19" s="304"/>
      <c r="P19" s="304"/>
      <c r="Q19" s="304"/>
      <c r="R19" s="304">
        <f t="shared" si="0"/>
        <v>35</v>
      </c>
      <c r="S19" s="304">
        <f t="shared" si="1"/>
        <v>31</v>
      </c>
      <c r="T19" s="659">
        <f t="shared" si="2"/>
        <v>7.113821138211382</v>
      </c>
      <c r="U19" s="659">
        <f t="shared" si="3"/>
        <v>6.378600823045268</v>
      </c>
    </row>
    <row r="20" spans="1:21" ht="21" customHeight="1">
      <c r="A20" s="303" t="s">
        <v>690</v>
      </c>
      <c r="B20" s="304">
        <v>335</v>
      </c>
      <c r="C20" s="304">
        <v>355</v>
      </c>
      <c r="D20" s="304">
        <f>SUM(B20:C20)+39</f>
        <v>729</v>
      </c>
      <c r="E20" s="304">
        <v>725</v>
      </c>
      <c r="F20" s="304">
        <v>729</v>
      </c>
      <c r="G20" s="304">
        <v>725</v>
      </c>
      <c r="H20" s="304"/>
      <c r="I20" s="304"/>
      <c r="J20" s="304">
        <v>39</v>
      </c>
      <c r="K20" s="304">
        <v>41</v>
      </c>
      <c r="L20" s="304">
        <v>39</v>
      </c>
      <c r="M20" s="304">
        <v>41</v>
      </c>
      <c r="N20" s="304"/>
      <c r="O20" s="304"/>
      <c r="P20" s="304"/>
      <c r="Q20" s="304"/>
      <c r="R20" s="304">
        <f t="shared" si="0"/>
        <v>39</v>
      </c>
      <c r="S20" s="304">
        <f t="shared" si="1"/>
        <v>41</v>
      </c>
      <c r="T20" s="659">
        <f t="shared" si="2"/>
        <v>5.349794238683128</v>
      </c>
      <c r="U20" s="659">
        <f t="shared" si="3"/>
        <v>5.655172413793103</v>
      </c>
    </row>
    <row r="21" spans="1:21" ht="21" customHeight="1">
      <c r="A21" s="303" t="s">
        <v>691</v>
      </c>
      <c r="B21" s="304"/>
      <c r="C21" s="304"/>
      <c r="D21" s="304">
        <v>251</v>
      </c>
      <c r="E21" s="304">
        <v>227</v>
      </c>
      <c r="F21" s="304">
        <v>251</v>
      </c>
      <c r="G21" s="304">
        <v>227</v>
      </c>
      <c r="H21" s="304"/>
      <c r="I21" s="304"/>
      <c r="J21" s="304">
        <v>72</v>
      </c>
      <c r="K21" s="304">
        <v>68</v>
      </c>
      <c r="L21" s="304">
        <v>72</v>
      </c>
      <c r="M21" s="304">
        <v>68</v>
      </c>
      <c r="N21" s="304"/>
      <c r="O21" s="304"/>
      <c r="P21" s="304"/>
      <c r="Q21" s="304"/>
      <c r="R21" s="304">
        <f t="shared" si="0"/>
        <v>72</v>
      </c>
      <c r="S21" s="304">
        <f t="shared" si="1"/>
        <v>68</v>
      </c>
      <c r="T21" s="659">
        <f t="shared" si="2"/>
        <v>28.68525896414343</v>
      </c>
      <c r="U21" s="659">
        <f t="shared" si="3"/>
        <v>29.955947136563875</v>
      </c>
    </row>
    <row r="22" spans="1:21" ht="21" customHeight="1">
      <c r="A22" s="303" t="s">
        <v>692</v>
      </c>
      <c r="B22" s="304">
        <v>131</v>
      </c>
      <c r="C22" s="304">
        <v>214</v>
      </c>
      <c r="D22" s="304">
        <f>SUM(B22:C22)+74</f>
        <v>419</v>
      </c>
      <c r="E22" s="304">
        <v>383</v>
      </c>
      <c r="F22" s="304">
        <v>419</v>
      </c>
      <c r="G22" s="304">
        <v>383</v>
      </c>
      <c r="H22" s="304"/>
      <c r="I22" s="304"/>
      <c r="J22" s="304">
        <v>48</v>
      </c>
      <c r="K22" s="304">
        <v>47</v>
      </c>
      <c r="L22" s="304">
        <v>48</v>
      </c>
      <c r="M22" s="304">
        <v>47</v>
      </c>
      <c r="N22" s="304"/>
      <c r="O22" s="304"/>
      <c r="P22" s="304"/>
      <c r="Q22" s="304"/>
      <c r="R22" s="304">
        <f t="shared" si="0"/>
        <v>48</v>
      </c>
      <c r="S22" s="304">
        <f t="shared" si="1"/>
        <v>47</v>
      </c>
      <c r="T22" s="659">
        <f t="shared" si="2"/>
        <v>11.455847255369928</v>
      </c>
      <c r="U22" s="659">
        <f t="shared" si="3"/>
        <v>12.27154046997389</v>
      </c>
    </row>
    <row r="23" spans="1:21" ht="21" customHeight="1">
      <c r="A23" s="303" t="s">
        <v>693</v>
      </c>
      <c r="B23" s="304">
        <v>269</v>
      </c>
      <c r="C23" s="304">
        <v>411</v>
      </c>
      <c r="D23" s="304">
        <f>SUM(B23:C23)+28</f>
        <v>708</v>
      </c>
      <c r="E23" s="304">
        <v>670</v>
      </c>
      <c r="F23" s="304">
        <v>708</v>
      </c>
      <c r="G23" s="304">
        <v>670</v>
      </c>
      <c r="H23" s="304"/>
      <c r="I23" s="304"/>
      <c r="J23" s="304">
        <v>88</v>
      </c>
      <c r="K23" s="304">
        <v>87</v>
      </c>
      <c r="L23" s="304">
        <v>88</v>
      </c>
      <c r="M23" s="304">
        <v>87</v>
      </c>
      <c r="N23" s="304"/>
      <c r="O23" s="304"/>
      <c r="P23" s="304"/>
      <c r="Q23" s="304"/>
      <c r="R23" s="304">
        <f t="shared" si="0"/>
        <v>88</v>
      </c>
      <c r="S23" s="304">
        <f t="shared" si="1"/>
        <v>87</v>
      </c>
      <c r="T23" s="659">
        <f t="shared" si="2"/>
        <v>12.429378531073446</v>
      </c>
      <c r="U23" s="659">
        <f t="shared" si="3"/>
        <v>12.985074626865673</v>
      </c>
    </row>
    <row r="24" spans="1:21" ht="21" customHeight="1">
      <c r="A24" s="303" t="s">
        <v>694</v>
      </c>
      <c r="B24" s="304">
        <v>351</v>
      </c>
      <c r="C24" s="304">
        <v>446</v>
      </c>
      <c r="D24" s="304">
        <f>SUM(B24:C24)+118</f>
        <v>915</v>
      </c>
      <c r="E24" s="304">
        <v>893</v>
      </c>
      <c r="F24" s="304">
        <v>915</v>
      </c>
      <c r="G24" s="304">
        <v>893</v>
      </c>
      <c r="H24" s="304"/>
      <c r="I24" s="304"/>
      <c r="J24" s="304">
        <v>37</v>
      </c>
      <c r="K24" s="304">
        <v>38</v>
      </c>
      <c r="L24" s="304">
        <v>37</v>
      </c>
      <c r="M24" s="304">
        <v>38</v>
      </c>
      <c r="N24" s="304"/>
      <c r="O24" s="304"/>
      <c r="P24" s="304"/>
      <c r="Q24" s="304"/>
      <c r="R24" s="304">
        <f t="shared" si="0"/>
        <v>37</v>
      </c>
      <c r="S24" s="304">
        <f t="shared" si="1"/>
        <v>38</v>
      </c>
      <c r="T24" s="659">
        <f t="shared" si="2"/>
        <v>4.043715846994536</v>
      </c>
      <c r="U24" s="659">
        <f t="shared" si="3"/>
        <v>4.25531914893617</v>
      </c>
    </row>
    <row r="25" spans="1:21" ht="21" customHeight="1">
      <c r="A25" s="303" t="s">
        <v>695</v>
      </c>
      <c r="B25" s="304">
        <v>47</v>
      </c>
      <c r="C25" s="304">
        <v>90</v>
      </c>
      <c r="D25" s="304">
        <f>SUM(B25:C25)+11</f>
        <v>148</v>
      </c>
      <c r="E25" s="304">
        <v>121</v>
      </c>
      <c r="F25" s="304">
        <v>148</v>
      </c>
      <c r="G25" s="304">
        <v>121</v>
      </c>
      <c r="H25" s="304"/>
      <c r="I25" s="304"/>
      <c r="J25" s="304">
        <v>9</v>
      </c>
      <c r="K25" s="304">
        <v>7</v>
      </c>
      <c r="L25" s="304">
        <v>9</v>
      </c>
      <c r="M25" s="304">
        <v>7</v>
      </c>
      <c r="N25" s="304"/>
      <c r="O25" s="304"/>
      <c r="P25" s="304"/>
      <c r="Q25" s="304"/>
      <c r="R25" s="304">
        <f t="shared" si="0"/>
        <v>9</v>
      </c>
      <c r="S25" s="304">
        <f t="shared" si="1"/>
        <v>7</v>
      </c>
      <c r="T25" s="659">
        <f t="shared" si="2"/>
        <v>6.081081081081082</v>
      </c>
      <c r="U25" s="659">
        <f t="shared" si="3"/>
        <v>5.785123966942149</v>
      </c>
    </row>
    <row r="26" spans="1:21" ht="21" customHeight="1">
      <c r="A26" s="303" t="s">
        <v>631</v>
      </c>
      <c r="B26" s="304"/>
      <c r="C26" s="304"/>
      <c r="D26" s="304">
        <f>SUM(B26:C26)</f>
        <v>0</v>
      </c>
      <c r="E26" s="304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/>
      <c r="R26" s="304">
        <f t="shared" si="0"/>
        <v>0</v>
      </c>
      <c r="S26" s="304">
        <f t="shared" si="1"/>
        <v>0</v>
      </c>
      <c r="T26" s="659" t="e">
        <f t="shared" si="2"/>
        <v>#DIV/0!</v>
      </c>
      <c r="U26" s="659" t="e">
        <f t="shared" si="3"/>
        <v>#DIV/0!</v>
      </c>
    </row>
    <row r="27" spans="1:21" ht="21" customHeight="1" thickBot="1">
      <c r="A27" s="661" t="s">
        <v>696</v>
      </c>
      <c r="B27" s="662"/>
      <c r="C27" s="662"/>
      <c r="D27" s="662">
        <f aca="true" t="shared" si="5" ref="D27:Q27">SUM(D12:D26)</f>
        <v>6842</v>
      </c>
      <c r="E27" s="662">
        <f t="shared" si="5"/>
        <v>6559</v>
      </c>
      <c r="F27" s="662">
        <f t="shared" si="5"/>
        <v>6842</v>
      </c>
      <c r="G27" s="662">
        <f t="shared" si="5"/>
        <v>6559</v>
      </c>
      <c r="H27" s="662">
        <f t="shared" si="5"/>
        <v>0</v>
      </c>
      <c r="I27" s="662">
        <f t="shared" si="5"/>
        <v>0</v>
      </c>
      <c r="J27" s="662">
        <f t="shared" si="5"/>
        <v>538</v>
      </c>
      <c r="K27" s="662">
        <f t="shared" si="5"/>
        <v>517</v>
      </c>
      <c r="L27" s="662">
        <f t="shared" si="5"/>
        <v>538</v>
      </c>
      <c r="M27" s="662">
        <f t="shared" si="5"/>
        <v>517</v>
      </c>
      <c r="N27" s="662">
        <f t="shared" si="5"/>
        <v>0</v>
      </c>
      <c r="O27" s="662">
        <f t="shared" si="5"/>
        <v>0</v>
      </c>
      <c r="P27" s="662">
        <f t="shared" si="5"/>
        <v>0</v>
      </c>
      <c r="Q27" s="662">
        <f t="shared" si="5"/>
        <v>0</v>
      </c>
      <c r="R27" s="662">
        <f t="shared" si="0"/>
        <v>538</v>
      </c>
      <c r="S27" s="662">
        <f t="shared" si="1"/>
        <v>517</v>
      </c>
      <c r="T27" s="663">
        <f t="shared" si="2"/>
        <v>7.863197895352236</v>
      </c>
      <c r="U27" s="663">
        <f t="shared" si="3"/>
        <v>7.882299130965086</v>
      </c>
    </row>
    <row r="28" spans="1:21" ht="21" customHeight="1" thickTop="1">
      <c r="A28" s="303" t="s">
        <v>632</v>
      </c>
      <c r="B28" s="304"/>
      <c r="C28" s="304"/>
      <c r="D28" s="304">
        <v>562</v>
      </c>
      <c r="E28" s="304">
        <v>555</v>
      </c>
      <c r="F28" s="304">
        <v>562</v>
      </c>
      <c r="G28" s="304">
        <v>555</v>
      </c>
      <c r="H28" s="304"/>
      <c r="I28" s="304"/>
      <c r="J28" s="304">
        <v>142</v>
      </c>
      <c r="K28" s="304">
        <v>119</v>
      </c>
      <c r="L28" s="304">
        <v>142</v>
      </c>
      <c r="M28" s="304">
        <v>119</v>
      </c>
      <c r="N28" s="304"/>
      <c r="O28" s="304">
        <f>SUM('[4]Verseghy'!Q54)</f>
        <v>0</v>
      </c>
      <c r="P28" s="304">
        <v>27</v>
      </c>
      <c r="Q28" s="304">
        <v>30</v>
      </c>
      <c r="R28" s="304">
        <f t="shared" si="0"/>
        <v>169</v>
      </c>
      <c r="S28" s="304">
        <f t="shared" si="1"/>
        <v>149</v>
      </c>
      <c r="T28" s="659">
        <f t="shared" si="2"/>
        <v>30.071174377224196</v>
      </c>
      <c r="U28" s="659">
        <f t="shared" si="3"/>
        <v>26.846846846846844</v>
      </c>
    </row>
    <row r="29" spans="1:21" ht="21" customHeight="1">
      <c r="A29" s="303" t="s">
        <v>633</v>
      </c>
      <c r="B29" s="304"/>
      <c r="C29" s="304"/>
      <c r="D29" s="304">
        <v>531</v>
      </c>
      <c r="E29" s="304">
        <v>530</v>
      </c>
      <c r="F29" s="304">
        <v>531</v>
      </c>
      <c r="G29" s="304">
        <v>530</v>
      </c>
      <c r="H29" s="304"/>
      <c r="I29" s="304"/>
      <c r="J29" s="304">
        <v>58</v>
      </c>
      <c r="K29" s="304">
        <v>63</v>
      </c>
      <c r="L29" s="304">
        <v>58</v>
      </c>
      <c r="M29" s="304">
        <v>63</v>
      </c>
      <c r="N29" s="304"/>
      <c r="O29" s="304">
        <f>SUM('[4]Varga K'!Q54)</f>
        <v>0</v>
      </c>
      <c r="P29" s="304">
        <v>175</v>
      </c>
      <c r="Q29" s="304">
        <v>178</v>
      </c>
      <c r="R29" s="304">
        <f t="shared" si="0"/>
        <v>233</v>
      </c>
      <c r="S29" s="304">
        <f t="shared" si="1"/>
        <v>241</v>
      </c>
      <c r="T29" s="659">
        <f t="shared" si="2"/>
        <v>43.87947269303202</v>
      </c>
      <c r="U29" s="659">
        <f t="shared" si="3"/>
        <v>45.47169811320755</v>
      </c>
    </row>
    <row r="30" spans="1:21" ht="21" customHeight="1">
      <c r="A30" s="303" t="s">
        <v>697</v>
      </c>
      <c r="B30" s="304"/>
      <c r="C30" s="304"/>
      <c r="D30" s="304">
        <v>694</v>
      </c>
      <c r="E30" s="304">
        <v>681</v>
      </c>
      <c r="F30" s="304">
        <v>694</v>
      </c>
      <c r="G30" s="304">
        <v>681</v>
      </c>
      <c r="H30" s="304"/>
      <c r="I30" s="304"/>
      <c r="J30" s="304">
        <v>252</v>
      </c>
      <c r="K30" s="304">
        <v>255</v>
      </c>
      <c r="L30" s="304">
        <v>252</v>
      </c>
      <c r="M30" s="304">
        <v>255</v>
      </c>
      <c r="N30" s="304"/>
      <c r="O30" s="304">
        <f>SUM('[4]Tiszaparti'!Q54)</f>
        <v>0</v>
      </c>
      <c r="P30" s="304">
        <v>121</v>
      </c>
      <c r="Q30" s="304">
        <v>103</v>
      </c>
      <c r="R30" s="304">
        <f t="shared" si="0"/>
        <v>373</v>
      </c>
      <c r="S30" s="304">
        <f t="shared" si="1"/>
        <v>358</v>
      </c>
      <c r="T30" s="659">
        <f t="shared" si="2"/>
        <v>53.7463976945245</v>
      </c>
      <c r="U30" s="659">
        <f t="shared" si="3"/>
        <v>52.56975036710719</v>
      </c>
    </row>
    <row r="31" spans="1:21" ht="21" customHeight="1">
      <c r="A31" s="303" t="s">
        <v>695</v>
      </c>
      <c r="B31" s="304"/>
      <c r="C31" s="304"/>
      <c r="D31" s="304">
        <f>590+1</f>
        <v>591</v>
      </c>
      <c r="E31" s="304">
        <v>644</v>
      </c>
      <c r="F31" s="304">
        <v>591</v>
      </c>
      <c r="G31" s="304">
        <v>644</v>
      </c>
      <c r="H31" s="304"/>
      <c r="I31" s="304"/>
      <c r="J31" s="304">
        <v>195</v>
      </c>
      <c r="K31" s="304">
        <v>221</v>
      </c>
      <c r="L31" s="304">
        <v>195</v>
      </c>
      <c r="M31" s="304">
        <v>221</v>
      </c>
      <c r="N31" s="304"/>
      <c r="O31" s="304">
        <f>SUM('[4]Széchenyi Gimn'!Q54)</f>
        <v>0</v>
      </c>
      <c r="P31" s="304">
        <v>68</v>
      </c>
      <c r="Q31" s="304">
        <v>80</v>
      </c>
      <c r="R31" s="304">
        <f t="shared" si="0"/>
        <v>263</v>
      </c>
      <c r="S31" s="304">
        <f t="shared" si="1"/>
        <v>301</v>
      </c>
      <c r="T31" s="659">
        <f t="shared" si="2"/>
        <v>44.50084602368866</v>
      </c>
      <c r="U31" s="659">
        <f t="shared" si="3"/>
        <v>46.73913043478261</v>
      </c>
    </row>
    <row r="32" spans="1:21" ht="21" customHeight="1">
      <c r="A32" s="303" t="s">
        <v>643</v>
      </c>
      <c r="B32" s="304"/>
      <c r="C32" s="304"/>
      <c r="D32" s="304">
        <v>504</v>
      </c>
      <c r="E32" s="304">
        <v>540</v>
      </c>
      <c r="F32" s="304">
        <v>248</v>
      </c>
      <c r="G32" s="304">
        <v>272</v>
      </c>
      <c r="H32" s="304">
        <v>256</v>
      </c>
      <c r="I32" s="304">
        <v>268</v>
      </c>
      <c r="J32" s="304">
        <v>120</v>
      </c>
      <c r="K32" s="304">
        <v>305</v>
      </c>
      <c r="L32" s="304">
        <v>18</v>
      </c>
      <c r="M32" s="304">
        <v>141</v>
      </c>
      <c r="N32" s="304">
        <v>102</v>
      </c>
      <c r="O32" s="304">
        <v>164</v>
      </c>
      <c r="P32" s="304">
        <v>43</v>
      </c>
      <c r="Q32" s="304">
        <v>51</v>
      </c>
      <c r="R32" s="304">
        <f t="shared" si="0"/>
        <v>61</v>
      </c>
      <c r="S32" s="304">
        <f t="shared" si="1"/>
        <v>192</v>
      </c>
      <c r="T32" s="659">
        <f t="shared" si="2"/>
        <v>24.596774193548388</v>
      </c>
      <c r="U32" s="659">
        <f t="shared" si="3"/>
        <v>70.58823529411765</v>
      </c>
    </row>
    <row r="33" spans="1:21" ht="21" customHeight="1">
      <c r="A33" s="303" t="s">
        <v>698</v>
      </c>
      <c r="B33" s="304"/>
      <c r="C33" s="304"/>
      <c r="D33" s="304">
        <v>766</v>
      </c>
      <c r="E33" s="304">
        <v>757</v>
      </c>
      <c r="F33" s="304">
        <v>766</v>
      </c>
      <c r="G33" s="304">
        <v>757</v>
      </c>
      <c r="H33" s="304"/>
      <c r="I33" s="304"/>
      <c r="J33" s="304">
        <v>351</v>
      </c>
      <c r="K33" s="304">
        <v>352</v>
      </c>
      <c r="L33" s="304">
        <v>351</v>
      </c>
      <c r="M33" s="304">
        <v>352</v>
      </c>
      <c r="N33" s="304"/>
      <c r="O33" s="304">
        <v>0</v>
      </c>
      <c r="P33" s="304">
        <v>86</v>
      </c>
      <c r="Q33" s="304">
        <v>71</v>
      </c>
      <c r="R33" s="304">
        <f t="shared" si="0"/>
        <v>437</v>
      </c>
      <c r="S33" s="304">
        <f t="shared" si="1"/>
        <v>423</v>
      </c>
      <c r="T33" s="659">
        <f t="shared" si="2"/>
        <v>57.04960835509139</v>
      </c>
      <c r="U33" s="659">
        <f t="shared" si="3"/>
        <v>55.878467635402906</v>
      </c>
    </row>
    <row r="34" spans="1:21" ht="21" customHeight="1">
      <c r="A34" s="303" t="s">
        <v>699</v>
      </c>
      <c r="B34" s="304"/>
      <c r="C34" s="304"/>
      <c r="D34" s="304">
        <v>1343</v>
      </c>
      <c r="E34" s="304">
        <v>1327</v>
      </c>
      <c r="F34" s="304">
        <v>1144</v>
      </c>
      <c r="G34" s="304">
        <v>1163</v>
      </c>
      <c r="H34" s="304">
        <v>199</v>
      </c>
      <c r="I34" s="304">
        <v>164</v>
      </c>
      <c r="J34" s="304">
        <v>688</v>
      </c>
      <c r="K34" s="304">
        <v>741</v>
      </c>
      <c r="L34" s="304">
        <v>605</v>
      </c>
      <c r="M34" s="304">
        <v>671</v>
      </c>
      <c r="N34" s="304">
        <v>83</v>
      </c>
      <c r="O34" s="304">
        <v>70</v>
      </c>
      <c r="P34" s="304">
        <v>87</v>
      </c>
      <c r="Q34" s="304">
        <v>89</v>
      </c>
      <c r="R34" s="304">
        <f t="shared" si="0"/>
        <v>692</v>
      </c>
      <c r="S34" s="304">
        <f t="shared" si="1"/>
        <v>760</v>
      </c>
      <c r="T34" s="659">
        <f t="shared" si="2"/>
        <v>60.48951048951049</v>
      </c>
      <c r="U34" s="659">
        <f t="shared" si="3"/>
        <v>65.34823731728288</v>
      </c>
    </row>
    <row r="35" spans="1:21" ht="21" customHeight="1">
      <c r="A35" s="303" t="s">
        <v>700</v>
      </c>
      <c r="B35" s="304"/>
      <c r="C35" s="304"/>
      <c r="D35" s="304">
        <v>594</v>
      </c>
      <c r="E35" s="304">
        <v>595</v>
      </c>
      <c r="F35" s="304">
        <v>594</v>
      </c>
      <c r="G35" s="304">
        <v>595</v>
      </c>
      <c r="H35" s="304"/>
      <c r="I35" s="304"/>
      <c r="J35" s="304">
        <v>256</v>
      </c>
      <c r="K35" s="304">
        <v>250</v>
      </c>
      <c r="L35" s="304">
        <v>256</v>
      </c>
      <c r="M35" s="304">
        <v>250</v>
      </c>
      <c r="N35" s="304"/>
      <c r="O35" s="304">
        <v>0</v>
      </c>
      <c r="P35" s="304">
        <v>63</v>
      </c>
      <c r="Q35" s="304">
        <v>49</v>
      </c>
      <c r="R35" s="304">
        <f t="shared" si="0"/>
        <v>319</v>
      </c>
      <c r="S35" s="304">
        <f t="shared" si="1"/>
        <v>299</v>
      </c>
      <c r="T35" s="659">
        <f t="shared" si="2"/>
        <v>53.70370370370371</v>
      </c>
      <c r="U35" s="659">
        <f t="shared" si="3"/>
        <v>50.252100840336134</v>
      </c>
    </row>
    <row r="36" spans="1:21" ht="21" customHeight="1">
      <c r="A36" s="303" t="s">
        <v>701</v>
      </c>
      <c r="B36" s="304"/>
      <c r="C36" s="304"/>
      <c r="D36" s="304">
        <v>1356</v>
      </c>
      <c r="E36" s="304">
        <v>1275</v>
      </c>
      <c r="F36" s="304">
        <v>1141</v>
      </c>
      <c r="G36" s="304">
        <v>1084</v>
      </c>
      <c r="H36" s="304">
        <v>215</v>
      </c>
      <c r="I36" s="304">
        <v>191</v>
      </c>
      <c r="J36" s="304">
        <v>703</v>
      </c>
      <c r="K36" s="304">
        <v>645</v>
      </c>
      <c r="L36" s="304">
        <v>609</v>
      </c>
      <c r="M36" s="304">
        <v>559</v>
      </c>
      <c r="N36" s="304">
        <v>94</v>
      </c>
      <c r="O36" s="304">
        <v>86</v>
      </c>
      <c r="P36" s="304">
        <v>100</v>
      </c>
      <c r="Q36" s="304">
        <v>98</v>
      </c>
      <c r="R36" s="304">
        <f t="shared" si="0"/>
        <v>709</v>
      </c>
      <c r="S36" s="304">
        <f t="shared" si="1"/>
        <v>657</v>
      </c>
      <c r="T36" s="659">
        <f t="shared" si="2"/>
        <v>62.1384750219106</v>
      </c>
      <c r="U36" s="659">
        <f t="shared" si="3"/>
        <v>60.608856088560884</v>
      </c>
    </row>
    <row r="37" spans="1:21" ht="21" customHeight="1">
      <c r="A37" s="303" t="s">
        <v>702</v>
      </c>
      <c r="B37" s="304"/>
      <c r="C37" s="304"/>
      <c r="D37" s="304">
        <v>927</v>
      </c>
      <c r="E37" s="304">
        <v>938</v>
      </c>
      <c r="F37" s="304">
        <v>863</v>
      </c>
      <c r="G37" s="304">
        <v>882</v>
      </c>
      <c r="H37" s="304">
        <v>64</v>
      </c>
      <c r="I37" s="304">
        <v>56</v>
      </c>
      <c r="J37" s="304">
        <v>367</v>
      </c>
      <c r="K37" s="304">
        <v>398</v>
      </c>
      <c r="L37" s="304">
        <v>349</v>
      </c>
      <c r="M37" s="304">
        <v>382</v>
      </c>
      <c r="N37" s="304">
        <v>18</v>
      </c>
      <c r="O37" s="304">
        <v>16</v>
      </c>
      <c r="P37" s="304">
        <v>86</v>
      </c>
      <c r="Q37" s="304">
        <v>74</v>
      </c>
      <c r="R37" s="304">
        <f t="shared" si="0"/>
        <v>435</v>
      </c>
      <c r="S37" s="304">
        <f t="shared" si="1"/>
        <v>456</v>
      </c>
      <c r="T37" s="659">
        <f t="shared" si="2"/>
        <v>50.40556199304751</v>
      </c>
      <c r="U37" s="659">
        <f t="shared" si="3"/>
        <v>51.70068027210885</v>
      </c>
    </row>
    <row r="38" spans="1:21" ht="21" customHeight="1">
      <c r="A38" s="303" t="s">
        <v>703</v>
      </c>
      <c r="B38" s="304"/>
      <c r="C38" s="304"/>
      <c r="D38" s="304">
        <v>709</v>
      </c>
      <c r="E38" s="304">
        <v>666</v>
      </c>
      <c r="F38" s="304">
        <v>709</v>
      </c>
      <c r="G38" s="304">
        <v>666</v>
      </c>
      <c r="H38" s="304"/>
      <c r="I38" s="304"/>
      <c r="J38" s="304">
        <v>361</v>
      </c>
      <c r="K38" s="304">
        <v>346</v>
      </c>
      <c r="L38" s="304">
        <v>361</v>
      </c>
      <c r="M38" s="304">
        <v>346</v>
      </c>
      <c r="N38" s="304">
        <v>0</v>
      </c>
      <c r="O38" s="304">
        <v>0</v>
      </c>
      <c r="P38" s="304">
        <v>70</v>
      </c>
      <c r="Q38" s="304">
        <v>56</v>
      </c>
      <c r="R38" s="304">
        <f t="shared" si="0"/>
        <v>431</v>
      </c>
      <c r="S38" s="304">
        <f t="shared" si="1"/>
        <v>402</v>
      </c>
      <c r="T38" s="659">
        <f t="shared" si="2"/>
        <v>60.78984485190409</v>
      </c>
      <c r="U38" s="659">
        <f t="shared" si="3"/>
        <v>60.36036036036037</v>
      </c>
    </row>
    <row r="39" spans="1:21" ht="21" customHeight="1" thickBot="1">
      <c r="A39" s="661" t="s">
        <v>704</v>
      </c>
      <c r="B39" s="662"/>
      <c r="C39" s="662"/>
      <c r="D39" s="662">
        <f aca="true" t="shared" si="6" ref="D39:Q39">SUM(D28:D38)</f>
        <v>8577</v>
      </c>
      <c r="E39" s="662">
        <f t="shared" si="6"/>
        <v>8508</v>
      </c>
      <c r="F39" s="662">
        <f t="shared" si="6"/>
        <v>7843</v>
      </c>
      <c r="G39" s="662">
        <f t="shared" si="6"/>
        <v>7829</v>
      </c>
      <c r="H39" s="662">
        <f t="shared" si="6"/>
        <v>734</v>
      </c>
      <c r="I39" s="662">
        <f t="shared" si="6"/>
        <v>679</v>
      </c>
      <c r="J39" s="662">
        <f t="shared" si="6"/>
        <v>3493</v>
      </c>
      <c r="K39" s="662">
        <f t="shared" si="6"/>
        <v>3695</v>
      </c>
      <c r="L39" s="662">
        <f t="shared" si="6"/>
        <v>3196</v>
      </c>
      <c r="M39" s="662">
        <f t="shared" si="6"/>
        <v>3359</v>
      </c>
      <c r="N39" s="662">
        <f t="shared" si="6"/>
        <v>297</v>
      </c>
      <c r="O39" s="662">
        <f t="shared" si="6"/>
        <v>336</v>
      </c>
      <c r="P39" s="662">
        <f t="shared" si="6"/>
        <v>926</v>
      </c>
      <c r="Q39" s="662">
        <f t="shared" si="6"/>
        <v>879</v>
      </c>
      <c r="R39" s="662">
        <f t="shared" si="0"/>
        <v>4122</v>
      </c>
      <c r="S39" s="662">
        <f t="shared" si="1"/>
        <v>4238</v>
      </c>
      <c r="T39" s="663">
        <f t="shared" si="2"/>
        <v>52.55641973734541</v>
      </c>
      <c r="U39" s="663">
        <f t="shared" si="3"/>
        <v>54.132073061693696</v>
      </c>
    </row>
    <row r="40" spans="1:21" ht="21" customHeight="1" thickBot="1" thickTop="1">
      <c r="A40" s="661" t="s">
        <v>705</v>
      </c>
      <c r="B40" s="662"/>
      <c r="C40" s="662"/>
      <c r="D40" s="662">
        <f aca="true" t="shared" si="7" ref="D40:Q40">SUM(D39,D27,D11)</f>
        <v>17856</v>
      </c>
      <c r="E40" s="662">
        <f t="shared" si="7"/>
        <v>17461</v>
      </c>
      <c r="F40" s="662">
        <f t="shared" si="7"/>
        <v>17122</v>
      </c>
      <c r="G40" s="662">
        <f t="shared" si="7"/>
        <v>16782</v>
      </c>
      <c r="H40" s="662">
        <f t="shared" si="7"/>
        <v>734</v>
      </c>
      <c r="I40" s="662">
        <f t="shared" si="7"/>
        <v>679</v>
      </c>
      <c r="J40" s="662">
        <f t="shared" si="7"/>
        <v>4109</v>
      </c>
      <c r="K40" s="662">
        <f t="shared" si="7"/>
        <v>4274</v>
      </c>
      <c r="L40" s="662">
        <f t="shared" si="7"/>
        <v>3812</v>
      </c>
      <c r="M40" s="662">
        <f t="shared" si="7"/>
        <v>3938</v>
      </c>
      <c r="N40" s="662">
        <f t="shared" si="7"/>
        <v>297</v>
      </c>
      <c r="O40" s="662">
        <f t="shared" si="7"/>
        <v>336</v>
      </c>
      <c r="P40" s="662">
        <f t="shared" si="7"/>
        <v>926</v>
      </c>
      <c r="Q40" s="662">
        <f t="shared" si="7"/>
        <v>879</v>
      </c>
      <c r="R40" s="662">
        <f t="shared" si="0"/>
        <v>4738</v>
      </c>
      <c r="S40" s="662">
        <f t="shared" si="1"/>
        <v>4817</v>
      </c>
      <c r="T40" s="663">
        <f t="shared" si="2"/>
        <v>27.67200093447027</v>
      </c>
      <c r="U40" s="663">
        <f t="shared" si="3"/>
        <v>28.703372661184602</v>
      </c>
    </row>
    <row r="41" spans="1:21" ht="21" customHeight="1" thickTop="1">
      <c r="A41" s="303" t="s">
        <v>706</v>
      </c>
      <c r="B41" s="304"/>
      <c r="C41" s="304"/>
      <c r="D41" s="304">
        <v>155</v>
      </c>
      <c r="E41" s="304">
        <v>149</v>
      </c>
      <c r="F41" s="304">
        <v>155</v>
      </c>
      <c r="G41" s="304">
        <v>149</v>
      </c>
      <c r="H41" s="304"/>
      <c r="I41" s="304"/>
      <c r="J41" s="304">
        <v>54</v>
      </c>
      <c r="K41" s="304">
        <v>51</v>
      </c>
      <c r="L41" s="304">
        <v>54</v>
      </c>
      <c r="M41" s="304">
        <v>51</v>
      </c>
      <c r="N41" s="304"/>
      <c r="O41" s="304"/>
      <c r="P41" s="304"/>
      <c r="Q41" s="304"/>
      <c r="R41" s="304">
        <f t="shared" si="0"/>
        <v>54</v>
      </c>
      <c r="S41" s="304">
        <f t="shared" si="1"/>
        <v>51</v>
      </c>
      <c r="T41" s="659">
        <f t="shared" si="2"/>
        <v>34.83870967741935</v>
      </c>
      <c r="U41" s="659">
        <f t="shared" si="3"/>
        <v>34.22818791946309</v>
      </c>
    </row>
    <row r="42" spans="1:21" ht="21" customHeight="1">
      <c r="A42" s="303" t="s">
        <v>648</v>
      </c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>
        <v>0</v>
      </c>
      <c r="N42" s="304"/>
      <c r="O42" s="304"/>
      <c r="P42" s="304"/>
      <c r="Q42" s="304"/>
      <c r="R42" s="304">
        <f t="shared" si="0"/>
        <v>0</v>
      </c>
      <c r="S42" s="304">
        <f t="shared" si="1"/>
        <v>0</v>
      </c>
      <c r="T42" s="659" t="e">
        <f t="shared" si="2"/>
        <v>#DIV/0!</v>
      </c>
      <c r="U42" s="659" t="e">
        <f t="shared" si="3"/>
        <v>#DIV/0!</v>
      </c>
    </row>
    <row r="43" spans="1:29" ht="21" customHeight="1">
      <c r="A43" s="303" t="s">
        <v>707</v>
      </c>
      <c r="B43" s="304"/>
      <c r="C43" s="304"/>
      <c r="D43" s="304">
        <v>45</v>
      </c>
      <c r="E43" s="304">
        <v>45</v>
      </c>
      <c r="F43" s="304">
        <v>45</v>
      </c>
      <c r="G43" s="304">
        <v>45</v>
      </c>
      <c r="H43" s="304"/>
      <c r="I43" s="304"/>
      <c r="J43" s="304">
        <v>3</v>
      </c>
      <c r="K43" s="304">
        <v>4</v>
      </c>
      <c r="L43" s="304">
        <v>3</v>
      </c>
      <c r="M43" s="304">
        <v>4</v>
      </c>
      <c r="N43" s="304"/>
      <c r="O43" s="304"/>
      <c r="P43" s="304"/>
      <c r="Q43" s="304"/>
      <c r="R43" s="304">
        <f t="shared" si="0"/>
        <v>3</v>
      </c>
      <c r="S43" s="304">
        <f t="shared" si="1"/>
        <v>4</v>
      </c>
      <c r="T43" s="659">
        <f t="shared" si="2"/>
        <v>6.666666666666667</v>
      </c>
      <c r="U43" s="659">
        <f t="shared" si="3"/>
        <v>8.88888888888889</v>
      </c>
      <c r="V43" s="665"/>
      <c r="W43" s="666"/>
      <c r="X43" s="666"/>
      <c r="Y43" s="666"/>
      <c r="Z43" s="666"/>
      <c r="AA43" s="666"/>
      <c r="AB43" s="666"/>
      <c r="AC43" s="666"/>
    </row>
    <row r="44" spans="1:31" ht="21" customHeight="1" thickBot="1">
      <c r="A44" s="661" t="s">
        <v>708</v>
      </c>
      <c r="B44" s="662"/>
      <c r="C44" s="662"/>
      <c r="D44" s="662">
        <f aca="true" t="shared" si="8" ref="D44:Q44">SUM(D41:D43)</f>
        <v>200</v>
      </c>
      <c r="E44" s="662">
        <f t="shared" si="8"/>
        <v>194</v>
      </c>
      <c r="F44" s="662">
        <f t="shared" si="8"/>
        <v>200</v>
      </c>
      <c r="G44" s="662">
        <f t="shared" si="8"/>
        <v>194</v>
      </c>
      <c r="H44" s="662">
        <f t="shared" si="8"/>
        <v>0</v>
      </c>
      <c r="I44" s="662">
        <f t="shared" si="8"/>
        <v>0</v>
      </c>
      <c r="J44" s="662">
        <f t="shared" si="8"/>
        <v>57</v>
      </c>
      <c r="K44" s="662">
        <f t="shared" si="8"/>
        <v>55</v>
      </c>
      <c r="L44" s="662">
        <f t="shared" si="8"/>
        <v>57</v>
      </c>
      <c r="M44" s="662">
        <f t="shared" si="8"/>
        <v>55</v>
      </c>
      <c r="N44" s="662">
        <f t="shared" si="8"/>
        <v>0</v>
      </c>
      <c r="O44" s="662">
        <f t="shared" si="8"/>
        <v>0</v>
      </c>
      <c r="P44" s="662">
        <f t="shared" si="8"/>
        <v>0</v>
      </c>
      <c r="Q44" s="662">
        <f t="shared" si="8"/>
        <v>0</v>
      </c>
      <c r="R44" s="662">
        <f t="shared" si="0"/>
        <v>57</v>
      </c>
      <c r="S44" s="662">
        <f t="shared" si="1"/>
        <v>55</v>
      </c>
      <c r="T44" s="663">
        <f t="shared" si="2"/>
        <v>28.499999999999996</v>
      </c>
      <c r="U44" s="663">
        <f t="shared" si="3"/>
        <v>28.350515463917525</v>
      </c>
      <c r="V44" s="667">
        <f aca="true" t="shared" si="9" ref="V44:AE44">SUM(V41:V43)</f>
        <v>0</v>
      </c>
      <c r="W44" s="667">
        <f t="shared" si="9"/>
        <v>0</v>
      </c>
      <c r="X44" s="667">
        <f t="shared" si="9"/>
        <v>0</v>
      </c>
      <c r="Y44" s="667">
        <f t="shared" si="9"/>
        <v>0</v>
      </c>
      <c r="Z44" s="667">
        <f t="shared" si="9"/>
        <v>0</v>
      </c>
      <c r="AA44" s="667">
        <f t="shared" si="9"/>
        <v>0</v>
      </c>
      <c r="AB44" s="667">
        <f t="shared" si="9"/>
        <v>0</v>
      </c>
      <c r="AC44" s="667">
        <f t="shared" si="9"/>
        <v>0</v>
      </c>
      <c r="AD44" s="668">
        <f t="shared" si="9"/>
        <v>0</v>
      </c>
      <c r="AE44" s="317">
        <f t="shared" si="9"/>
        <v>0</v>
      </c>
    </row>
    <row r="45" spans="1:29" ht="21" customHeight="1" thickBot="1" thickTop="1">
      <c r="A45" s="661" t="s">
        <v>709</v>
      </c>
      <c r="B45" s="662"/>
      <c r="C45" s="662"/>
      <c r="D45" s="662">
        <f aca="true" t="shared" si="10" ref="D45:Q45">SUM(D44,D40)</f>
        <v>18056</v>
      </c>
      <c r="E45" s="662">
        <f t="shared" si="10"/>
        <v>17655</v>
      </c>
      <c r="F45" s="662">
        <f t="shared" si="10"/>
        <v>17322</v>
      </c>
      <c r="G45" s="662">
        <f t="shared" si="10"/>
        <v>16976</v>
      </c>
      <c r="H45" s="662">
        <f t="shared" si="10"/>
        <v>734</v>
      </c>
      <c r="I45" s="662">
        <f t="shared" si="10"/>
        <v>679</v>
      </c>
      <c r="J45" s="662">
        <f t="shared" si="10"/>
        <v>4166</v>
      </c>
      <c r="K45" s="662">
        <f t="shared" si="10"/>
        <v>4329</v>
      </c>
      <c r="L45" s="662">
        <f t="shared" si="10"/>
        <v>3869</v>
      </c>
      <c r="M45" s="662">
        <f t="shared" si="10"/>
        <v>3993</v>
      </c>
      <c r="N45" s="662">
        <f t="shared" si="10"/>
        <v>297</v>
      </c>
      <c r="O45" s="662">
        <f t="shared" si="10"/>
        <v>336</v>
      </c>
      <c r="P45" s="662">
        <f t="shared" si="10"/>
        <v>926</v>
      </c>
      <c r="Q45" s="662">
        <f t="shared" si="10"/>
        <v>879</v>
      </c>
      <c r="R45" s="662">
        <f t="shared" si="0"/>
        <v>4795</v>
      </c>
      <c r="S45" s="662">
        <f t="shared" si="1"/>
        <v>4872</v>
      </c>
      <c r="T45" s="663">
        <f t="shared" si="2"/>
        <v>27.68156102066736</v>
      </c>
      <c r="U45" s="663">
        <f t="shared" si="3"/>
        <v>28.699340245051836</v>
      </c>
      <c r="V45" s="665"/>
      <c r="W45" s="666"/>
      <c r="X45" s="666"/>
      <c r="Y45" s="666"/>
      <c r="Z45" s="666"/>
      <c r="AA45" s="666"/>
      <c r="AB45" s="666"/>
      <c r="AC45" s="666"/>
    </row>
    <row r="46" spans="20:29" ht="21" customHeight="1" thickTop="1">
      <c r="T46" s="666"/>
      <c r="U46" s="665"/>
      <c r="V46" s="665"/>
      <c r="W46" s="666"/>
      <c r="X46" s="666"/>
      <c r="Y46" s="666"/>
      <c r="Z46" s="666"/>
      <c r="AA46" s="666"/>
      <c r="AB46" s="666"/>
      <c r="AC46" s="666"/>
    </row>
    <row r="47" spans="1:29" ht="21" customHeight="1">
      <c r="A47" s="666"/>
      <c r="B47" s="666"/>
      <c r="C47" s="666"/>
      <c r="D47" s="666"/>
      <c r="E47" s="666"/>
      <c r="F47" s="666"/>
      <c r="G47" s="666"/>
      <c r="H47" s="666"/>
      <c r="I47" s="666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5"/>
      <c r="V47" s="665"/>
      <c r="W47" s="666"/>
      <c r="X47" s="666"/>
      <c r="Y47" s="666"/>
      <c r="Z47" s="666"/>
      <c r="AA47" s="666"/>
      <c r="AB47" s="666"/>
      <c r="AC47" s="666"/>
    </row>
    <row r="48" spans="1:29" s="295" customFormat="1" ht="21" customHeight="1">
      <c r="A48" s="667"/>
      <c r="B48" s="667"/>
      <c r="C48" s="667"/>
      <c r="D48" s="667"/>
      <c r="E48" s="667"/>
      <c r="F48" s="667"/>
      <c r="G48" s="667"/>
      <c r="H48" s="667"/>
      <c r="I48" s="667"/>
      <c r="J48" s="667"/>
      <c r="K48" s="667"/>
      <c r="L48" s="667"/>
      <c r="M48" s="667"/>
      <c r="N48" s="667"/>
      <c r="O48" s="667"/>
      <c r="P48" s="667"/>
      <c r="Q48" s="667"/>
      <c r="R48" s="667"/>
      <c r="S48" s="667"/>
      <c r="T48" s="667"/>
      <c r="U48" s="669"/>
      <c r="V48" s="669"/>
      <c r="W48" s="667"/>
      <c r="X48" s="667"/>
      <c r="Y48" s="667"/>
      <c r="Z48" s="667"/>
      <c r="AA48" s="667"/>
      <c r="AB48" s="667"/>
      <c r="AC48" s="667"/>
    </row>
    <row r="49" spans="1:19" ht="21" customHeight="1">
      <c r="A49" s="666"/>
      <c r="B49" s="666"/>
      <c r="C49" s="666"/>
      <c r="D49" s="666"/>
      <c r="E49" s="666"/>
      <c r="F49" s="666"/>
      <c r="G49" s="666"/>
      <c r="H49" s="666"/>
      <c r="I49" s="666"/>
      <c r="J49" s="666"/>
      <c r="K49" s="666"/>
      <c r="L49" s="666"/>
      <c r="M49" s="666"/>
      <c r="N49" s="666"/>
      <c r="O49" s="666"/>
      <c r="P49" s="666"/>
      <c r="Q49" s="666"/>
      <c r="R49" s="666"/>
      <c r="S49" s="666"/>
    </row>
    <row r="50" spans="1:19" ht="21" customHeight="1">
      <c r="A50" s="670"/>
      <c r="B50" s="666"/>
      <c r="C50" s="666"/>
      <c r="D50" s="666"/>
      <c r="E50" s="666"/>
      <c r="F50" s="666"/>
      <c r="G50" s="666"/>
      <c r="H50" s="666"/>
      <c r="I50" s="666"/>
      <c r="J50" s="666"/>
      <c r="K50" s="666"/>
      <c r="L50" s="666"/>
      <c r="M50" s="670"/>
      <c r="N50" s="670"/>
      <c r="O50" s="666"/>
      <c r="P50" s="666"/>
      <c r="Q50" s="666"/>
      <c r="R50" s="666"/>
      <c r="S50" s="666"/>
    </row>
    <row r="51" spans="1:19" ht="21" customHeight="1">
      <c r="A51" s="666"/>
      <c r="B51" s="666"/>
      <c r="C51" s="666"/>
      <c r="D51" s="666"/>
      <c r="E51" s="666"/>
      <c r="F51" s="666"/>
      <c r="G51" s="666"/>
      <c r="H51" s="666"/>
      <c r="I51" s="666"/>
      <c r="J51" s="666"/>
      <c r="K51" s="671"/>
      <c r="L51" s="671"/>
      <c r="M51" s="671"/>
      <c r="N51" s="671"/>
      <c r="O51" s="666"/>
      <c r="P51" s="666"/>
      <c r="Q51" s="666"/>
      <c r="R51" s="666"/>
      <c r="S51" s="666"/>
    </row>
    <row r="52" spans="1:19" ht="15.75">
      <c r="A52" s="666"/>
      <c r="B52" s="666"/>
      <c r="C52" s="666"/>
      <c r="D52" s="666"/>
      <c r="E52" s="666"/>
      <c r="F52" s="666"/>
      <c r="G52" s="666"/>
      <c r="H52" s="666"/>
      <c r="I52" s="666"/>
      <c r="J52" s="666"/>
      <c r="K52" s="666"/>
      <c r="L52" s="666"/>
      <c r="M52" s="666"/>
      <c r="N52" s="666"/>
      <c r="O52" s="666"/>
      <c r="P52" s="666"/>
      <c r="Q52" s="666"/>
      <c r="R52" s="666"/>
      <c r="S52" s="666"/>
    </row>
    <row r="53" spans="1:19" ht="15.75">
      <c r="A53" s="666"/>
      <c r="B53" s="666"/>
      <c r="C53" s="666"/>
      <c r="D53" s="666"/>
      <c r="E53" s="666"/>
      <c r="F53" s="666"/>
      <c r="G53" s="666"/>
      <c r="H53" s="666"/>
      <c r="I53" s="666"/>
      <c r="J53" s="666"/>
      <c r="K53" s="666"/>
      <c r="L53" s="666"/>
      <c r="M53" s="666"/>
      <c r="N53" s="666"/>
      <c r="O53" s="666"/>
      <c r="P53" s="666"/>
      <c r="Q53" s="666"/>
      <c r="R53" s="666"/>
      <c r="S53" s="666"/>
    </row>
    <row r="54" spans="1:19" ht="15.75">
      <c r="A54" s="666"/>
      <c r="B54" s="666"/>
      <c r="C54" s="666"/>
      <c r="D54" s="666"/>
      <c r="E54" s="666"/>
      <c r="F54" s="666"/>
      <c r="G54" s="666"/>
      <c r="H54" s="666"/>
      <c r="I54" s="666"/>
      <c r="J54" s="666"/>
      <c r="K54" s="666"/>
      <c r="L54" s="666"/>
      <c r="M54" s="666"/>
      <c r="N54" s="666"/>
      <c r="O54" s="666"/>
      <c r="P54" s="666"/>
      <c r="Q54" s="666"/>
      <c r="R54" s="666"/>
      <c r="S54" s="666"/>
    </row>
    <row r="55" spans="1:19" ht="15.75">
      <c r="A55" s="666"/>
      <c r="B55" s="666"/>
      <c r="C55" s="666"/>
      <c r="D55" s="666"/>
      <c r="E55" s="666"/>
      <c r="F55" s="666"/>
      <c r="G55" s="666"/>
      <c r="H55" s="666"/>
      <c r="I55" s="666"/>
      <c r="J55" s="666"/>
      <c r="K55" s="666"/>
      <c r="L55" s="666"/>
      <c r="M55" s="666"/>
      <c r="N55" s="666"/>
      <c r="O55" s="666"/>
      <c r="P55" s="666"/>
      <c r="Q55" s="666"/>
      <c r="R55" s="666"/>
      <c r="S55" s="666"/>
    </row>
    <row r="56" spans="1:19" ht="15.75">
      <c r="A56" s="666"/>
      <c r="B56" s="666"/>
      <c r="C56" s="666"/>
      <c r="D56" s="666"/>
      <c r="E56" s="666"/>
      <c r="F56" s="666"/>
      <c r="G56" s="666"/>
      <c r="H56" s="666"/>
      <c r="I56" s="666"/>
      <c r="J56" s="666"/>
      <c r="K56" s="666"/>
      <c r="L56" s="666"/>
      <c r="M56" s="666"/>
      <c r="N56" s="666"/>
      <c r="O56" s="666"/>
      <c r="P56" s="666"/>
      <c r="Q56" s="666"/>
      <c r="R56" s="666"/>
      <c r="S56" s="666"/>
    </row>
    <row r="57" spans="1:19" ht="15.75">
      <c r="A57" s="666"/>
      <c r="B57" s="666"/>
      <c r="C57" s="666"/>
      <c r="D57" s="666"/>
      <c r="E57" s="666"/>
      <c r="F57" s="666"/>
      <c r="G57" s="666"/>
      <c r="H57" s="666"/>
      <c r="I57" s="666"/>
      <c r="J57" s="666"/>
      <c r="K57" s="666"/>
      <c r="L57" s="666"/>
      <c r="M57" s="666"/>
      <c r="N57" s="666"/>
      <c r="O57" s="666"/>
      <c r="P57" s="666"/>
      <c r="Q57" s="666"/>
      <c r="R57" s="666"/>
      <c r="S57" s="666"/>
    </row>
    <row r="58" spans="1:19" ht="15.75">
      <c r="A58" s="666"/>
      <c r="B58" s="666"/>
      <c r="C58" s="666"/>
      <c r="D58" s="666"/>
      <c r="E58" s="666"/>
      <c r="F58" s="666"/>
      <c r="G58" s="666"/>
      <c r="H58" s="666"/>
      <c r="I58" s="666"/>
      <c r="J58" s="666"/>
      <c r="K58" s="666"/>
      <c r="L58" s="666"/>
      <c r="M58" s="666"/>
      <c r="N58" s="666"/>
      <c r="O58" s="666"/>
      <c r="P58" s="666"/>
      <c r="Q58" s="666"/>
      <c r="R58" s="666"/>
      <c r="S58" s="666"/>
    </row>
    <row r="59" spans="1:19" ht="15.75">
      <c r="A59" s="666"/>
      <c r="B59" s="666"/>
      <c r="C59" s="666"/>
      <c r="D59" s="666"/>
      <c r="E59" s="666"/>
      <c r="F59" s="666"/>
      <c r="G59" s="666"/>
      <c r="H59" s="666"/>
      <c r="I59" s="666"/>
      <c r="J59" s="666"/>
      <c r="K59" s="666"/>
      <c r="L59" s="666"/>
      <c r="M59" s="666"/>
      <c r="N59" s="666"/>
      <c r="O59" s="666"/>
      <c r="P59" s="666"/>
      <c r="Q59" s="666"/>
      <c r="R59" s="666"/>
      <c r="S59" s="666"/>
    </row>
    <row r="60" spans="1:19" ht="15.75">
      <c r="A60" s="666"/>
      <c r="B60" s="666"/>
      <c r="C60" s="666"/>
      <c r="D60" s="666"/>
      <c r="E60" s="666"/>
      <c r="F60" s="666"/>
      <c r="G60" s="666"/>
      <c r="H60" s="666"/>
      <c r="I60" s="666"/>
      <c r="J60" s="666"/>
      <c r="K60" s="666"/>
      <c r="L60" s="666"/>
      <c r="M60" s="666"/>
      <c r="N60" s="666"/>
      <c r="O60" s="666"/>
      <c r="P60" s="666"/>
      <c r="Q60" s="666"/>
      <c r="R60" s="666"/>
      <c r="S60" s="666"/>
    </row>
    <row r="61" spans="1:19" ht="15.75">
      <c r="A61" s="666"/>
      <c r="B61" s="666"/>
      <c r="C61" s="666"/>
      <c r="D61" s="666"/>
      <c r="E61" s="666"/>
      <c r="F61" s="666"/>
      <c r="G61" s="666"/>
      <c r="H61" s="666"/>
      <c r="I61" s="666"/>
      <c r="J61" s="666"/>
      <c r="K61" s="666"/>
      <c r="L61" s="666"/>
      <c r="M61" s="666"/>
      <c r="N61" s="666"/>
      <c r="O61" s="666"/>
      <c r="P61" s="666"/>
      <c r="Q61" s="666"/>
      <c r="R61" s="666"/>
      <c r="S61" s="666"/>
    </row>
    <row r="62" spans="1:19" ht="15.75">
      <c r="A62" s="666"/>
      <c r="B62" s="666"/>
      <c r="C62" s="666"/>
      <c r="D62" s="666"/>
      <c r="E62" s="666"/>
      <c r="F62" s="666"/>
      <c r="G62" s="666"/>
      <c r="H62" s="666"/>
      <c r="I62" s="666"/>
      <c r="J62" s="666"/>
      <c r="K62" s="666"/>
      <c r="L62" s="666"/>
      <c r="M62" s="666"/>
      <c r="N62" s="666"/>
      <c r="O62" s="666"/>
      <c r="P62" s="666"/>
      <c r="Q62" s="666"/>
      <c r="R62" s="666"/>
      <c r="S62" s="666"/>
    </row>
    <row r="63" spans="1:19" ht="15.75">
      <c r="A63" s="666"/>
      <c r="B63" s="666"/>
      <c r="C63" s="666"/>
      <c r="D63" s="666"/>
      <c r="E63" s="666"/>
      <c r="F63" s="666"/>
      <c r="G63" s="666"/>
      <c r="H63" s="666"/>
      <c r="I63" s="666"/>
      <c r="J63" s="666"/>
      <c r="K63" s="666"/>
      <c r="L63" s="666"/>
      <c r="M63" s="666"/>
      <c r="N63" s="666"/>
      <c r="O63" s="666"/>
      <c r="P63" s="666"/>
      <c r="Q63" s="666"/>
      <c r="R63" s="666"/>
      <c r="S63" s="666"/>
    </row>
    <row r="64" spans="1:19" ht="15.75">
      <c r="A64" s="666"/>
      <c r="B64" s="666"/>
      <c r="C64" s="666"/>
      <c r="D64" s="666"/>
      <c r="E64" s="666"/>
      <c r="F64" s="666"/>
      <c r="G64" s="666"/>
      <c r="H64" s="666"/>
      <c r="I64" s="666"/>
      <c r="J64" s="666"/>
      <c r="K64" s="666"/>
      <c r="L64" s="666"/>
      <c r="M64" s="666"/>
      <c r="N64" s="666"/>
      <c r="O64" s="666"/>
      <c r="P64" s="666"/>
      <c r="Q64" s="666"/>
      <c r="R64" s="666"/>
      <c r="S64" s="666"/>
    </row>
    <row r="65" spans="1:19" ht="15.75">
      <c r="A65" s="666"/>
      <c r="B65" s="666"/>
      <c r="C65" s="666"/>
      <c r="D65" s="666"/>
      <c r="E65" s="666"/>
      <c r="F65" s="666"/>
      <c r="G65" s="666"/>
      <c r="H65" s="666"/>
      <c r="I65" s="666"/>
      <c r="J65" s="666"/>
      <c r="K65" s="666"/>
      <c r="L65" s="666"/>
      <c r="M65" s="666"/>
      <c r="N65" s="666"/>
      <c r="O65" s="666"/>
      <c r="P65" s="666"/>
      <c r="Q65" s="666"/>
      <c r="R65" s="666"/>
      <c r="S65" s="666"/>
    </row>
    <row r="66" spans="1:19" ht="15.75">
      <c r="A66" s="666"/>
      <c r="B66" s="666"/>
      <c r="C66" s="666"/>
      <c r="D66" s="666"/>
      <c r="E66" s="666"/>
      <c r="F66" s="666"/>
      <c r="G66" s="666"/>
      <c r="H66" s="666"/>
      <c r="I66" s="666"/>
      <c r="J66" s="666"/>
      <c r="K66" s="666"/>
      <c r="L66" s="666"/>
      <c r="M66" s="666"/>
      <c r="N66" s="666"/>
      <c r="O66" s="666"/>
      <c r="P66" s="666"/>
      <c r="Q66" s="666"/>
      <c r="R66" s="666"/>
      <c r="S66" s="666"/>
    </row>
    <row r="67" spans="1:19" ht="15.75">
      <c r="A67" s="666"/>
      <c r="B67" s="666"/>
      <c r="C67" s="666"/>
      <c r="D67" s="666"/>
      <c r="E67" s="666"/>
      <c r="F67" s="666"/>
      <c r="G67" s="666"/>
      <c r="H67" s="666"/>
      <c r="I67" s="666"/>
      <c r="J67" s="666"/>
      <c r="K67" s="666"/>
      <c r="L67" s="666"/>
      <c r="M67" s="666"/>
      <c r="N67" s="666"/>
      <c r="O67" s="666"/>
      <c r="P67" s="666"/>
      <c r="Q67" s="666"/>
      <c r="R67" s="666"/>
      <c r="S67" s="666"/>
    </row>
    <row r="68" spans="1:19" ht="15.75">
      <c r="A68" s="666"/>
      <c r="B68" s="666"/>
      <c r="C68" s="666"/>
      <c r="D68" s="666"/>
      <c r="E68" s="666"/>
      <c r="F68" s="666"/>
      <c r="G68" s="666"/>
      <c r="H68" s="666"/>
      <c r="I68" s="666"/>
      <c r="J68" s="666"/>
      <c r="K68" s="666"/>
      <c r="L68" s="666"/>
      <c r="M68" s="666"/>
      <c r="N68" s="666"/>
      <c r="O68" s="666"/>
      <c r="P68" s="666"/>
      <c r="Q68" s="666"/>
      <c r="R68" s="666"/>
      <c r="S68" s="666"/>
    </row>
    <row r="69" spans="1:19" ht="15.75">
      <c r="A69" s="666"/>
      <c r="B69" s="666"/>
      <c r="C69" s="666"/>
      <c r="D69" s="666"/>
      <c r="E69" s="666"/>
      <c r="F69" s="666"/>
      <c r="G69" s="666"/>
      <c r="H69" s="666"/>
      <c r="I69" s="666"/>
      <c r="J69" s="666"/>
      <c r="K69" s="666"/>
      <c r="L69" s="666"/>
      <c r="M69" s="666"/>
      <c r="N69" s="666"/>
      <c r="O69" s="666"/>
      <c r="P69" s="666"/>
      <c r="Q69" s="666"/>
      <c r="R69" s="666"/>
      <c r="S69" s="666"/>
    </row>
    <row r="70" spans="1:19" ht="15.75">
      <c r="A70" s="666"/>
      <c r="B70" s="666"/>
      <c r="C70" s="666"/>
      <c r="D70" s="666"/>
      <c r="E70" s="666"/>
      <c r="F70" s="666"/>
      <c r="G70" s="666"/>
      <c r="H70" s="666"/>
      <c r="I70" s="666"/>
      <c r="J70" s="666"/>
      <c r="K70" s="666"/>
      <c r="L70" s="666"/>
      <c r="M70" s="666"/>
      <c r="N70" s="666"/>
      <c r="O70" s="666"/>
      <c r="P70" s="666"/>
      <c r="Q70" s="666"/>
      <c r="R70" s="666"/>
      <c r="S70" s="666"/>
    </row>
    <row r="71" spans="1:19" ht="15.75">
      <c r="A71" s="666"/>
      <c r="B71" s="666"/>
      <c r="C71" s="666"/>
      <c r="D71" s="666"/>
      <c r="E71" s="666"/>
      <c r="F71" s="666"/>
      <c r="G71" s="666"/>
      <c r="H71" s="666"/>
      <c r="I71" s="666"/>
      <c r="J71" s="666"/>
      <c r="K71" s="666"/>
      <c r="L71" s="666"/>
      <c r="M71" s="666"/>
      <c r="N71" s="666"/>
      <c r="O71" s="666"/>
      <c r="P71" s="666"/>
      <c r="Q71" s="666"/>
      <c r="R71" s="666"/>
      <c r="S71" s="666"/>
    </row>
    <row r="72" spans="1:19" ht="15.75">
      <c r="A72" s="666"/>
      <c r="B72" s="666"/>
      <c r="C72" s="666"/>
      <c r="D72" s="666"/>
      <c r="E72" s="666"/>
      <c r="F72" s="666"/>
      <c r="G72" s="666"/>
      <c r="H72" s="666"/>
      <c r="I72" s="666"/>
      <c r="J72" s="666"/>
      <c r="K72" s="666"/>
      <c r="L72" s="666"/>
      <c r="M72" s="666"/>
      <c r="N72" s="666"/>
      <c r="O72" s="666"/>
      <c r="P72" s="666"/>
      <c r="Q72" s="666"/>
      <c r="R72" s="666"/>
      <c r="S72" s="666"/>
    </row>
    <row r="73" spans="1:19" ht="15.75">
      <c r="A73" s="666"/>
      <c r="B73" s="666"/>
      <c r="C73" s="666"/>
      <c r="D73" s="666"/>
      <c r="E73" s="666"/>
      <c r="F73" s="666"/>
      <c r="G73" s="666"/>
      <c r="H73" s="666"/>
      <c r="I73" s="666"/>
      <c r="J73" s="666"/>
      <c r="K73" s="666"/>
      <c r="L73" s="666"/>
      <c r="M73" s="666"/>
      <c r="N73" s="666"/>
      <c r="O73" s="666"/>
      <c r="P73" s="666"/>
      <c r="Q73" s="666"/>
      <c r="R73" s="666"/>
      <c r="S73" s="666"/>
    </row>
    <row r="74" spans="1:19" ht="15.75">
      <c r="A74" s="666"/>
      <c r="B74" s="666"/>
      <c r="C74" s="666"/>
      <c r="D74" s="666"/>
      <c r="E74" s="666"/>
      <c r="F74" s="666"/>
      <c r="G74" s="666"/>
      <c r="H74" s="666"/>
      <c r="I74" s="666"/>
      <c r="J74" s="666"/>
      <c r="K74" s="666"/>
      <c r="L74" s="666"/>
      <c r="M74" s="666"/>
      <c r="N74" s="666"/>
      <c r="O74" s="666"/>
      <c r="P74" s="666"/>
      <c r="Q74" s="666"/>
      <c r="R74" s="666"/>
      <c r="S74" s="666"/>
    </row>
    <row r="75" spans="1:19" ht="15.75">
      <c r="A75" s="666"/>
      <c r="B75" s="666"/>
      <c r="C75" s="666"/>
      <c r="D75" s="666"/>
      <c r="E75" s="666"/>
      <c r="F75" s="666"/>
      <c r="G75" s="666"/>
      <c r="H75" s="666"/>
      <c r="I75" s="666"/>
      <c r="J75" s="666"/>
      <c r="K75" s="666"/>
      <c r="L75" s="666"/>
      <c r="M75" s="666"/>
      <c r="N75" s="666"/>
      <c r="O75" s="666"/>
      <c r="P75" s="666"/>
      <c r="Q75" s="666"/>
      <c r="R75" s="666"/>
      <c r="S75" s="666"/>
    </row>
    <row r="76" spans="1:19" ht="15.75">
      <c r="A76" s="666"/>
      <c r="B76" s="666"/>
      <c r="C76" s="666"/>
      <c r="D76" s="666"/>
      <c r="E76" s="666"/>
      <c r="F76" s="666"/>
      <c r="G76" s="666"/>
      <c r="H76" s="666"/>
      <c r="I76" s="666"/>
      <c r="J76" s="666"/>
      <c r="K76" s="666"/>
      <c r="L76" s="666"/>
      <c r="M76" s="666"/>
      <c r="N76" s="666"/>
      <c r="O76" s="666"/>
      <c r="P76" s="666"/>
      <c r="Q76" s="666"/>
      <c r="R76" s="666"/>
      <c r="S76" s="666"/>
    </row>
    <row r="77" spans="1:19" ht="15.75">
      <c r="A77" s="666"/>
      <c r="B77" s="666"/>
      <c r="C77" s="666"/>
      <c r="D77" s="666"/>
      <c r="E77" s="666"/>
      <c r="F77" s="666"/>
      <c r="G77" s="666"/>
      <c r="H77" s="666"/>
      <c r="I77" s="666"/>
      <c r="J77" s="666"/>
      <c r="K77" s="666"/>
      <c r="L77" s="666"/>
      <c r="M77" s="666"/>
      <c r="N77" s="666"/>
      <c r="O77" s="666"/>
      <c r="P77" s="666"/>
      <c r="Q77" s="666"/>
      <c r="R77" s="666"/>
      <c r="S77" s="666"/>
    </row>
    <row r="78" spans="1:19" ht="15.75">
      <c r="A78" s="666"/>
      <c r="B78" s="666"/>
      <c r="C78" s="666"/>
      <c r="D78" s="666"/>
      <c r="E78" s="666"/>
      <c r="F78" s="666"/>
      <c r="G78" s="666"/>
      <c r="H78" s="666"/>
      <c r="I78" s="666"/>
      <c r="J78" s="666"/>
      <c r="K78" s="666"/>
      <c r="L78" s="666"/>
      <c r="M78" s="666"/>
      <c r="N78" s="666"/>
      <c r="O78" s="666"/>
      <c r="P78" s="666"/>
      <c r="Q78" s="666"/>
      <c r="R78" s="666"/>
      <c r="S78" s="666"/>
    </row>
    <row r="79" spans="1:19" ht="15.75">
      <c r="A79" s="666"/>
      <c r="B79" s="666"/>
      <c r="C79" s="666"/>
      <c r="D79" s="666"/>
      <c r="E79" s="666"/>
      <c r="F79" s="666"/>
      <c r="G79" s="666"/>
      <c r="H79" s="666"/>
      <c r="I79" s="666"/>
      <c r="J79" s="666"/>
      <c r="K79" s="666"/>
      <c r="L79" s="666"/>
      <c r="M79" s="666"/>
      <c r="N79" s="666"/>
      <c r="O79" s="666"/>
      <c r="P79" s="666"/>
      <c r="Q79" s="666"/>
      <c r="R79" s="666"/>
      <c r="S79" s="666"/>
    </row>
    <row r="80" spans="1:19" ht="15.75">
      <c r="A80" s="666"/>
      <c r="B80" s="666"/>
      <c r="C80" s="666"/>
      <c r="D80" s="666"/>
      <c r="E80" s="666"/>
      <c r="F80" s="666"/>
      <c r="G80" s="666"/>
      <c r="H80" s="666"/>
      <c r="I80" s="666"/>
      <c r="J80" s="666"/>
      <c r="K80" s="666"/>
      <c r="L80" s="666"/>
      <c r="M80" s="666"/>
      <c r="N80" s="666"/>
      <c r="O80" s="666"/>
      <c r="P80" s="666"/>
      <c r="Q80" s="666"/>
      <c r="R80" s="666"/>
      <c r="S80" s="666"/>
    </row>
    <row r="81" spans="1:19" ht="15.75">
      <c r="A81" s="666"/>
      <c r="B81" s="666"/>
      <c r="C81" s="666"/>
      <c r="D81" s="666"/>
      <c r="E81" s="666"/>
      <c r="F81" s="666"/>
      <c r="G81" s="666"/>
      <c r="H81" s="666"/>
      <c r="I81" s="666"/>
      <c r="J81" s="666"/>
      <c r="K81" s="666"/>
      <c r="L81" s="666"/>
      <c r="M81" s="666"/>
      <c r="N81" s="666"/>
      <c r="O81" s="666"/>
      <c r="P81" s="666"/>
      <c r="Q81" s="666"/>
      <c r="R81" s="666"/>
      <c r="S81" s="666"/>
    </row>
    <row r="82" spans="1:19" ht="15.75">
      <c r="A82" s="666"/>
      <c r="B82" s="666"/>
      <c r="C82" s="666"/>
      <c r="D82" s="666"/>
      <c r="E82" s="666"/>
      <c r="F82" s="666"/>
      <c r="G82" s="666"/>
      <c r="H82" s="666"/>
      <c r="I82" s="666"/>
      <c r="J82" s="666"/>
      <c r="K82" s="666"/>
      <c r="L82" s="666"/>
      <c r="M82" s="666"/>
      <c r="N82" s="666"/>
      <c r="O82" s="666"/>
      <c r="P82" s="666"/>
      <c r="Q82" s="666"/>
      <c r="R82" s="666"/>
      <c r="S82" s="666"/>
    </row>
    <row r="83" spans="1:19" ht="15.75">
      <c r="A83" s="666"/>
      <c r="B83" s="666"/>
      <c r="C83" s="666"/>
      <c r="D83" s="666"/>
      <c r="E83" s="666"/>
      <c r="F83" s="666"/>
      <c r="G83" s="666"/>
      <c r="H83" s="666"/>
      <c r="I83" s="666"/>
      <c r="J83" s="666"/>
      <c r="K83" s="666"/>
      <c r="L83" s="666"/>
      <c r="M83" s="666"/>
      <c r="N83" s="666"/>
      <c r="O83" s="666"/>
      <c r="P83" s="666"/>
      <c r="Q83" s="666"/>
      <c r="R83" s="666"/>
      <c r="S83" s="666"/>
    </row>
    <row r="84" spans="1:19" ht="15.75">
      <c r="A84" s="666"/>
      <c r="B84" s="666"/>
      <c r="C84" s="666"/>
      <c r="D84" s="666"/>
      <c r="E84" s="666"/>
      <c r="F84" s="666"/>
      <c r="G84" s="666"/>
      <c r="H84" s="666"/>
      <c r="I84" s="666"/>
      <c r="J84" s="666"/>
      <c r="K84" s="666"/>
      <c r="L84" s="666"/>
      <c r="M84" s="666"/>
      <c r="N84" s="666"/>
      <c r="O84" s="666"/>
      <c r="P84" s="666"/>
      <c r="Q84" s="666"/>
      <c r="R84" s="666"/>
      <c r="S84" s="666"/>
    </row>
    <row r="85" spans="1:19" ht="15.75">
      <c r="A85" s="666"/>
      <c r="B85" s="666"/>
      <c r="C85" s="666"/>
      <c r="D85" s="666"/>
      <c r="E85" s="666"/>
      <c r="F85" s="666"/>
      <c r="G85" s="666"/>
      <c r="H85" s="666"/>
      <c r="I85" s="666"/>
      <c r="J85" s="666"/>
      <c r="K85" s="666"/>
      <c r="L85" s="666"/>
      <c r="M85" s="666"/>
      <c r="N85" s="666"/>
      <c r="O85" s="666"/>
      <c r="P85" s="666"/>
      <c r="Q85" s="666"/>
      <c r="R85" s="666"/>
      <c r="S85" s="666"/>
    </row>
    <row r="86" spans="1:19" ht="15.75">
      <c r="A86" s="666"/>
      <c r="B86" s="666"/>
      <c r="C86" s="666"/>
      <c r="D86" s="666"/>
      <c r="E86" s="666"/>
      <c r="F86" s="666"/>
      <c r="G86" s="666"/>
      <c r="H86" s="666"/>
      <c r="I86" s="666"/>
      <c r="J86" s="666"/>
      <c r="K86" s="666"/>
      <c r="L86" s="666"/>
      <c r="M86" s="666"/>
      <c r="N86" s="666"/>
      <c r="O86" s="666"/>
      <c r="P86" s="666"/>
      <c r="Q86" s="666"/>
      <c r="R86" s="666"/>
      <c r="S86" s="666"/>
    </row>
    <row r="87" spans="1:19" ht="15.75">
      <c r="A87" s="666"/>
      <c r="B87" s="666"/>
      <c r="C87" s="666"/>
      <c r="D87" s="666"/>
      <c r="E87" s="666"/>
      <c r="F87" s="666"/>
      <c r="G87" s="666"/>
      <c r="H87" s="666"/>
      <c r="I87" s="666"/>
      <c r="J87" s="666"/>
      <c r="K87" s="666"/>
      <c r="L87" s="666"/>
      <c r="M87" s="666"/>
      <c r="N87" s="666"/>
      <c r="O87" s="666"/>
      <c r="P87" s="666"/>
      <c r="Q87" s="666"/>
      <c r="R87" s="666"/>
      <c r="S87" s="666"/>
    </row>
    <row r="88" spans="1:19" ht="15.75">
      <c r="A88" s="666"/>
      <c r="B88" s="666"/>
      <c r="C88" s="666"/>
      <c r="D88" s="666"/>
      <c r="E88" s="666"/>
      <c r="F88" s="666"/>
      <c r="G88" s="666"/>
      <c r="H88" s="666"/>
      <c r="I88" s="666"/>
      <c r="J88" s="666"/>
      <c r="K88" s="666"/>
      <c r="L88" s="666"/>
      <c r="M88" s="666"/>
      <c r="N88" s="666"/>
      <c r="O88" s="666"/>
      <c r="P88" s="666"/>
      <c r="Q88" s="666"/>
      <c r="R88" s="666"/>
      <c r="S88" s="666"/>
    </row>
    <row r="89" spans="1:19" ht="15.75">
      <c r="A89" s="666"/>
      <c r="B89" s="666"/>
      <c r="C89" s="666"/>
      <c r="D89" s="666"/>
      <c r="E89" s="666"/>
      <c r="F89" s="666"/>
      <c r="G89" s="666"/>
      <c r="H89" s="666"/>
      <c r="I89" s="666"/>
      <c r="J89" s="666"/>
      <c r="K89" s="666"/>
      <c r="L89" s="666"/>
      <c r="M89" s="666"/>
      <c r="N89" s="666"/>
      <c r="O89" s="666"/>
      <c r="P89" s="666"/>
      <c r="Q89" s="666"/>
      <c r="R89" s="666"/>
      <c r="S89" s="666"/>
    </row>
    <row r="90" spans="1:19" ht="15.75">
      <c r="A90" s="666"/>
      <c r="B90" s="666"/>
      <c r="C90" s="666"/>
      <c r="D90" s="666"/>
      <c r="E90" s="666"/>
      <c r="F90" s="666"/>
      <c r="G90" s="666"/>
      <c r="H90" s="666"/>
      <c r="I90" s="666"/>
      <c r="J90" s="666"/>
      <c r="K90" s="666"/>
      <c r="L90" s="666"/>
      <c r="M90" s="666"/>
      <c r="N90" s="666"/>
      <c r="O90" s="666"/>
      <c r="P90" s="666"/>
      <c r="Q90" s="666"/>
      <c r="R90" s="666"/>
      <c r="S90" s="666"/>
    </row>
    <row r="91" spans="1:19" ht="15.75">
      <c r="A91" s="666"/>
      <c r="B91" s="666"/>
      <c r="C91" s="666"/>
      <c r="D91" s="666"/>
      <c r="E91" s="666"/>
      <c r="F91" s="666"/>
      <c r="G91" s="666"/>
      <c r="H91" s="666"/>
      <c r="I91" s="666"/>
      <c r="J91" s="666"/>
      <c r="K91" s="666"/>
      <c r="L91" s="666"/>
      <c r="M91" s="666"/>
      <c r="N91" s="666"/>
      <c r="O91" s="666"/>
      <c r="P91" s="666"/>
      <c r="Q91" s="666"/>
      <c r="R91" s="666"/>
      <c r="S91" s="666"/>
    </row>
    <row r="92" spans="1:19" ht="15.75">
      <c r="A92" s="666"/>
      <c r="B92" s="666"/>
      <c r="C92" s="666"/>
      <c r="D92" s="666"/>
      <c r="E92" s="666"/>
      <c r="F92" s="666"/>
      <c r="G92" s="666"/>
      <c r="H92" s="666"/>
      <c r="I92" s="666"/>
      <c r="J92" s="666"/>
      <c r="K92" s="666"/>
      <c r="L92" s="666"/>
      <c r="M92" s="666"/>
      <c r="N92" s="666"/>
      <c r="O92" s="666"/>
      <c r="P92" s="666"/>
      <c r="Q92" s="666"/>
      <c r="R92" s="666"/>
      <c r="S92" s="666"/>
    </row>
    <row r="93" spans="1:19" ht="15.75">
      <c r="A93" s="666"/>
      <c r="B93" s="666"/>
      <c r="C93" s="666"/>
      <c r="D93" s="666"/>
      <c r="E93" s="666"/>
      <c r="F93" s="666"/>
      <c r="G93" s="666"/>
      <c r="H93" s="666"/>
      <c r="I93" s="666"/>
      <c r="J93" s="666"/>
      <c r="K93" s="666"/>
      <c r="L93" s="666"/>
      <c r="M93" s="666"/>
      <c r="N93" s="666"/>
      <c r="O93" s="666"/>
      <c r="P93" s="666"/>
      <c r="Q93" s="666"/>
      <c r="R93" s="666"/>
      <c r="S93" s="666"/>
    </row>
    <row r="94" spans="1:19" ht="15.75">
      <c r="A94" s="666"/>
      <c r="B94" s="666"/>
      <c r="C94" s="666"/>
      <c r="D94" s="666"/>
      <c r="E94" s="666"/>
      <c r="F94" s="666"/>
      <c r="G94" s="666"/>
      <c r="H94" s="666"/>
      <c r="I94" s="666"/>
      <c r="J94" s="666"/>
      <c r="K94" s="666"/>
      <c r="L94" s="666"/>
      <c r="M94" s="666"/>
      <c r="N94" s="666"/>
      <c r="O94" s="666"/>
      <c r="P94" s="666"/>
      <c r="Q94" s="666"/>
      <c r="R94" s="666"/>
      <c r="S94" s="666"/>
    </row>
    <row r="95" spans="1:19" ht="15.75">
      <c r="A95" s="666"/>
      <c r="B95" s="666"/>
      <c r="C95" s="666"/>
      <c r="D95" s="666"/>
      <c r="E95" s="666"/>
      <c r="F95" s="666"/>
      <c r="G95" s="666"/>
      <c r="H95" s="666"/>
      <c r="I95" s="666"/>
      <c r="J95" s="666"/>
      <c r="K95" s="666"/>
      <c r="L95" s="666"/>
      <c r="M95" s="666"/>
      <c r="N95" s="666"/>
      <c r="O95" s="666"/>
      <c r="P95" s="666"/>
      <c r="Q95" s="666"/>
      <c r="R95" s="666"/>
      <c r="S95" s="666"/>
    </row>
    <row r="96" spans="1:19" ht="15.75">
      <c r="A96" s="666"/>
      <c r="B96" s="666"/>
      <c r="C96" s="666"/>
      <c r="D96" s="666"/>
      <c r="E96" s="666"/>
      <c r="F96" s="666"/>
      <c r="G96" s="666"/>
      <c r="H96" s="666"/>
      <c r="I96" s="666"/>
      <c r="J96" s="666"/>
      <c r="K96" s="666"/>
      <c r="L96" s="666"/>
      <c r="M96" s="666"/>
      <c r="N96" s="666"/>
      <c r="O96" s="666"/>
      <c r="P96" s="666"/>
      <c r="Q96" s="666"/>
      <c r="R96" s="666"/>
      <c r="S96" s="666"/>
    </row>
    <row r="97" spans="1:19" ht="15.75">
      <c r="A97" s="666"/>
      <c r="B97" s="666"/>
      <c r="C97" s="666"/>
      <c r="D97" s="666"/>
      <c r="E97" s="666"/>
      <c r="F97" s="666"/>
      <c r="G97" s="666"/>
      <c r="H97" s="666"/>
      <c r="I97" s="666"/>
      <c r="J97" s="666"/>
      <c r="K97" s="666"/>
      <c r="L97" s="666"/>
      <c r="M97" s="666"/>
      <c r="N97" s="666"/>
      <c r="O97" s="666"/>
      <c r="P97" s="666"/>
      <c r="Q97" s="666"/>
      <c r="R97" s="666"/>
      <c r="S97" s="666"/>
    </row>
    <row r="98" spans="1:19" ht="15.75">
      <c r="A98" s="666"/>
      <c r="B98" s="666"/>
      <c r="C98" s="666"/>
      <c r="D98" s="666"/>
      <c r="E98" s="666"/>
      <c r="F98" s="666"/>
      <c r="G98" s="666"/>
      <c r="H98" s="666"/>
      <c r="I98" s="666"/>
      <c r="J98" s="666"/>
      <c r="K98" s="666"/>
      <c r="L98" s="666"/>
      <c r="M98" s="666"/>
      <c r="N98" s="666"/>
      <c r="O98" s="666"/>
      <c r="P98" s="666"/>
      <c r="Q98" s="666"/>
      <c r="R98" s="666"/>
      <c r="S98" s="666"/>
    </row>
    <row r="99" spans="1:19" ht="15.75">
      <c r="A99" s="666"/>
      <c r="B99" s="666"/>
      <c r="C99" s="666"/>
      <c r="D99" s="666"/>
      <c r="E99" s="666"/>
      <c r="F99" s="666"/>
      <c r="G99" s="666"/>
      <c r="H99" s="666"/>
      <c r="I99" s="666"/>
      <c r="J99" s="666"/>
      <c r="K99" s="666"/>
      <c r="L99" s="666"/>
      <c r="M99" s="666"/>
      <c r="N99" s="666"/>
      <c r="O99" s="666"/>
      <c r="P99" s="666"/>
      <c r="Q99" s="666"/>
      <c r="R99" s="666"/>
      <c r="S99" s="666"/>
    </row>
    <row r="100" spans="1:19" ht="15.75">
      <c r="A100" s="666"/>
      <c r="B100" s="666"/>
      <c r="C100" s="666"/>
      <c r="D100" s="666"/>
      <c r="E100" s="666"/>
      <c r="F100" s="666"/>
      <c r="G100" s="666"/>
      <c r="H100" s="666"/>
      <c r="I100" s="666"/>
      <c r="J100" s="666"/>
      <c r="K100" s="666"/>
      <c r="L100" s="666"/>
      <c r="M100" s="666"/>
      <c r="N100" s="666"/>
      <c r="O100" s="666"/>
      <c r="P100" s="666"/>
      <c r="Q100" s="666"/>
      <c r="R100" s="666"/>
      <c r="S100" s="666"/>
    </row>
    <row r="101" spans="1:19" ht="15.75">
      <c r="A101" s="666"/>
      <c r="B101" s="666"/>
      <c r="C101" s="666"/>
      <c r="D101" s="666"/>
      <c r="E101" s="666"/>
      <c r="F101" s="666"/>
      <c r="G101" s="666"/>
      <c r="H101" s="666"/>
      <c r="I101" s="666"/>
      <c r="J101" s="666"/>
      <c r="K101" s="666"/>
      <c r="L101" s="666"/>
      <c r="M101" s="666"/>
      <c r="N101" s="666"/>
      <c r="O101" s="666"/>
      <c r="P101" s="666"/>
      <c r="Q101" s="666"/>
      <c r="R101" s="666"/>
      <c r="S101" s="666"/>
    </row>
    <row r="102" spans="1:19" ht="15.75">
      <c r="A102" s="666"/>
      <c r="B102" s="666"/>
      <c r="C102" s="666"/>
      <c r="D102" s="666"/>
      <c r="E102" s="666"/>
      <c r="F102" s="666"/>
      <c r="G102" s="666"/>
      <c r="H102" s="666"/>
      <c r="I102" s="666"/>
      <c r="J102" s="666"/>
      <c r="K102" s="666"/>
      <c r="L102" s="666"/>
      <c r="M102" s="666"/>
      <c r="N102" s="666"/>
      <c r="O102" s="666"/>
      <c r="P102" s="666"/>
      <c r="Q102" s="666"/>
      <c r="R102" s="666"/>
      <c r="S102" s="666"/>
    </row>
    <row r="103" spans="1:19" ht="15.75">
      <c r="A103" s="666"/>
      <c r="B103" s="666"/>
      <c r="C103" s="666"/>
      <c r="D103" s="666"/>
      <c r="E103" s="666"/>
      <c r="F103" s="666"/>
      <c r="G103" s="666"/>
      <c r="H103" s="666"/>
      <c r="I103" s="666"/>
      <c r="J103" s="666"/>
      <c r="K103" s="666"/>
      <c r="L103" s="666"/>
      <c r="M103" s="666"/>
      <c r="N103" s="666"/>
      <c r="O103" s="666"/>
      <c r="P103" s="666"/>
      <c r="Q103" s="666"/>
      <c r="R103" s="666"/>
      <c r="S103" s="666"/>
    </row>
    <row r="104" spans="1:19" ht="15.75">
      <c r="A104" s="666"/>
      <c r="B104" s="666"/>
      <c r="C104" s="666"/>
      <c r="D104" s="666"/>
      <c r="E104" s="666"/>
      <c r="F104" s="666"/>
      <c r="G104" s="666"/>
      <c r="H104" s="666"/>
      <c r="I104" s="666"/>
      <c r="J104" s="666"/>
      <c r="K104" s="666"/>
      <c r="L104" s="666"/>
      <c r="M104" s="666"/>
      <c r="N104" s="666"/>
      <c r="O104" s="666"/>
      <c r="P104" s="666"/>
      <c r="Q104" s="666"/>
      <c r="R104" s="666"/>
      <c r="S104" s="666"/>
    </row>
    <row r="105" spans="1:19" ht="15.75">
      <c r="A105" s="666"/>
      <c r="B105" s="666"/>
      <c r="C105" s="666"/>
      <c r="D105" s="666"/>
      <c r="E105" s="666"/>
      <c r="F105" s="666"/>
      <c r="G105" s="666"/>
      <c r="H105" s="666"/>
      <c r="I105" s="666"/>
      <c r="J105" s="666"/>
      <c r="K105" s="666"/>
      <c r="L105" s="666"/>
      <c r="M105" s="666"/>
      <c r="N105" s="666"/>
      <c r="O105" s="666"/>
      <c r="P105" s="666"/>
      <c r="Q105" s="666"/>
      <c r="R105" s="666"/>
      <c r="S105" s="666"/>
    </row>
    <row r="106" spans="1:19" ht="15.75">
      <c r="A106" s="666"/>
      <c r="B106" s="666"/>
      <c r="C106" s="666"/>
      <c r="D106" s="666"/>
      <c r="E106" s="666"/>
      <c r="F106" s="666"/>
      <c r="G106" s="666"/>
      <c r="H106" s="666"/>
      <c r="I106" s="666"/>
      <c r="J106" s="666"/>
      <c r="K106" s="666"/>
      <c r="L106" s="666"/>
      <c r="M106" s="666"/>
      <c r="N106" s="666"/>
      <c r="O106" s="666"/>
      <c r="P106" s="666"/>
      <c r="Q106" s="666"/>
      <c r="R106" s="666"/>
      <c r="S106" s="666"/>
    </row>
    <row r="107" spans="1:19" ht="15.75">
      <c r="A107" s="666"/>
      <c r="B107" s="666"/>
      <c r="C107" s="666"/>
      <c r="D107" s="666"/>
      <c r="E107" s="666"/>
      <c r="F107" s="666"/>
      <c r="G107" s="666"/>
      <c r="H107" s="666"/>
      <c r="I107" s="666"/>
      <c r="J107" s="666"/>
      <c r="K107" s="666"/>
      <c r="L107" s="666"/>
      <c r="M107" s="666"/>
      <c r="N107" s="666"/>
      <c r="O107" s="666"/>
      <c r="P107" s="666"/>
      <c r="Q107" s="666"/>
      <c r="R107" s="666"/>
      <c r="S107" s="666"/>
    </row>
    <row r="108" spans="1:19" ht="15.75">
      <c r="A108" s="666"/>
      <c r="B108" s="666"/>
      <c r="C108" s="666"/>
      <c r="D108" s="666"/>
      <c r="E108" s="666"/>
      <c r="F108" s="666"/>
      <c r="G108" s="666"/>
      <c r="H108" s="666"/>
      <c r="I108" s="666"/>
      <c r="J108" s="666"/>
      <c r="K108" s="666"/>
      <c r="L108" s="666"/>
      <c r="M108" s="666"/>
      <c r="N108" s="666"/>
      <c r="O108" s="666"/>
      <c r="P108" s="666"/>
      <c r="Q108" s="666"/>
      <c r="R108" s="666"/>
      <c r="S108" s="666"/>
    </row>
    <row r="109" spans="1:19" ht="15.75">
      <c r="A109" s="666"/>
      <c r="B109" s="666"/>
      <c r="C109" s="666"/>
      <c r="D109" s="666"/>
      <c r="E109" s="666"/>
      <c r="F109" s="666"/>
      <c r="G109" s="666"/>
      <c r="H109" s="666"/>
      <c r="I109" s="666"/>
      <c r="J109" s="666"/>
      <c r="K109" s="666"/>
      <c r="L109" s="666"/>
      <c r="M109" s="666"/>
      <c r="N109" s="666"/>
      <c r="O109" s="666"/>
      <c r="P109" s="666"/>
      <c r="Q109" s="666"/>
      <c r="R109" s="666"/>
      <c r="S109" s="666"/>
    </row>
    <row r="110" spans="1:19" ht="15.75">
      <c r="A110" s="666"/>
      <c r="B110" s="666"/>
      <c r="C110" s="666"/>
      <c r="D110" s="666"/>
      <c r="E110" s="666"/>
      <c r="F110" s="666"/>
      <c r="G110" s="666"/>
      <c r="H110" s="666"/>
      <c r="I110" s="666"/>
      <c r="J110" s="666"/>
      <c r="K110" s="666"/>
      <c r="L110" s="666"/>
      <c r="M110" s="666"/>
      <c r="N110" s="666"/>
      <c r="O110" s="666"/>
      <c r="P110" s="666"/>
      <c r="Q110" s="666"/>
      <c r="R110" s="666"/>
      <c r="S110" s="666"/>
    </row>
    <row r="111" spans="1:19" ht="15.75">
      <c r="A111" s="666"/>
      <c r="B111" s="666"/>
      <c r="C111" s="666"/>
      <c r="D111" s="666"/>
      <c r="E111" s="666"/>
      <c r="F111" s="666"/>
      <c r="G111" s="666"/>
      <c r="H111" s="666"/>
      <c r="I111" s="666"/>
      <c r="J111" s="666"/>
      <c r="K111" s="666"/>
      <c r="L111" s="666"/>
      <c r="M111" s="666"/>
      <c r="N111" s="666"/>
      <c r="O111" s="666"/>
      <c r="P111" s="666"/>
      <c r="Q111" s="666"/>
      <c r="R111" s="666"/>
      <c r="S111" s="666"/>
    </row>
    <row r="112" spans="1:19" ht="15.75">
      <c r="A112" s="666"/>
      <c r="B112" s="666"/>
      <c r="C112" s="666"/>
      <c r="D112" s="666"/>
      <c r="E112" s="666"/>
      <c r="F112" s="666"/>
      <c r="G112" s="666"/>
      <c r="H112" s="666"/>
      <c r="I112" s="666"/>
      <c r="J112" s="666"/>
      <c r="K112" s="666"/>
      <c r="L112" s="666"/>
      <c r="M112" s="666"/>
      <c r="N112" s="666"/>
      <c r="O112" s="666"/>
      <c r="P112" s="666"/>
      <c r="Q112" s="666"/>
      <c r="R112" s="666"/>
      <c r="S112" s="666"/>
    </row>
    <row r="113" spans="1:19" ht="15.75">
      <c r="A113" s="666"/>
      <c r="B113" s="666"/>
      <c r="C113" s="666"/>
      <c r="D113" s="666"/>
      <c r="E113" s="666"/>
      <c r="F113" s="666"/>
      <c r="G113" s="666"/>
      <c r="H113" s="666"/>
      <c r="I113" s="666"/>
      <c r="J113" s="666"/>
      <c r="K113" s="666"/>
      <c r="L113" s="666"/>
      <c r="M113" s="666"/>
      <c r="N113" s="666"/>
      <c r="O113" s="666"/>
      <c r="P113" s="666"/>
      <c r="Q113" s="666"/>
      <c r="R113" s="666"/>
      <c r="S113" s="666"/>
    </row>
    <row r="114" spans="1:19" ht="15.75">
      <c r="A114" s="666"/>
      <c r="B114" s="666"/>
      <c r="C114" s="666"/>
      <c r="D114" s="666"/>
      <c r="E114" s="666"/>
      <c r="F114" s="666"/>
      <c r="G114" s="666"/>
      <c r="H114" s="666"/>
      <c r="I114" s="666"/>
      <c r="J114" s="666"/>
      <c r="K114" s="666"/>
      <c r="L114" s="666"/>
      <c r="M114" s="666"/>
      <c r="N114" s="666"/>
      <c r="O114" s="666"/>
      <c r="P114" s="666"/>
      <c r="Q114" s="666"/>
      <c r="R114" s="666"/>
      <c r="S114" s="666"/>
    </row>
    <row r="115" spans="1:19" ht="15.75">
      <c r="A115" s="666"/>
      <c r="B115" s="666"/>
      <c r="C115" s="666"/>
      <c r="D115" s="666"/>
      <c r="E115" s="666"/>
      <c r="F115" s="666"/>
      <c r="G115" s="666"/>
      <c r="H115" s="666"/>
      <c r="I115" s="666"/>
      <c r="J115" s="666"/>
      <c r="K115" s="666"/>
      <c r="L115" s="666"/>
      <c r="M115" s="666"/>
      <c r="N115" s="666"/>
      <c r="O115" s="666"/>
      <c r="P115" s="666"/>
      <c r="Q115" s="666"/>
      <c r="R115" s="666"/>
      <c r="S115" s="666"/>
    </row>
    <row r="116" spans="1:19" ht="15.75">
      <c r="A116" s="666"/>
      <c r="B116" s="666"/>
      <c r="C116" s="666"/>
      <c r="D116" s="666"/>
      <c r="E116" s="666"/>
      <c r="F116" s="666"/>
      <c r="G116" s="666"/>
      <c r="H116" s="666"/>
      <c r="I116" s="666"/>
      <c r="J116" s="666"/>
      <c r="K116" s="666"/>
      <c r="L116" s="666"/>
      <c r="M116" s="666"/>
      <c r="N116" s="666"/>
      <c r="O116" s="666"/>
      <c r="P116" s="666"/>
      <c r="Q116" s="666"/>
      <c r="R116" s="666"/>
      <c r="S116" s="666"/>
    </row>
    <row r="117" spans="1:19" ht="15.75">
      <c r="A117" s="666"/>
      <c r="B117" s="666"/>
      <c r="C117" s="666"/>
      <c r="D117" s="666"/>
      <c r="E117" s="666"/>
      <c r="F117" s="666"/>
      <c r="G117" s="666"/>
      <c r="H117" s="666"/>
      <c r="I117" s="666"/>
      <c r="J117" s="666"/>
      <c r="K117" s="666"/>
      <c r="L117" s="666"/>
      <c r="M117" s="666"/>
      <c r="N117" s="666"/>
      <c r="O117" s="666"/>
      <c r="P117" s="666"/>
      <c r="Q117" s="666"/>
      <c r="R117" s="666"/>
      <c r="S117" s="666"/>
    </row>
    <row r="118" spans="1:19" ht="15.75">
      <c r="A118" s="666"/>
      <c r="B118" s="666"/>
      <c r="C118" s="666"/>
      <c r="D118" s="666"/>
      <c r="E118" s="666"/>
      <c r="F118" s="666"/>
      <c r="G118" s="666"/>
      <c r="H118" s="666"/>
      <c r="I118" s="666"/>
      <c r="J118" s="666"/>
      <c r="K118" s="666"/>
      <c r="L118" s="666"/>
      <c r="M118" s="666"/>
      <c r="N118" s="666"/>
      <c r="O118" s="666"/>
      <c r="P118" s="666"/>
      <c r="Q118" s="666"/>
      <c r="R118" s="666"/>
      <c r="S118" s="666"/>
    </row>
    <row r="119" spans="1:19" ht="15.75">
      <c r="A119" s="666"/>
      <c r="B119" s="666"/>
      <c r="C119" s="666"/>
      <c r="D119" s="666"/>
      <c r="E119" s="666"/>
      <c r="F119" s="666"/>
      <c r="G119" s="666"/>
      <c r="H119" s="666"/>
      <c r="I119" s="666"/>
      <c r="J119" s="666"/>
      <c r="K119" s="666"/>
      <c r="L119" s="666"/>
      <c r="M119" s="666"/>
      <c r="N119" s="666"/>
      <c r="O119" s="666"/>
      <c r="P119" s="666"/>
      <c r="Q119" s="666"/>
      <c r="R119" s="666"/>
      <c r="S119" s="666"/>
    </row>
    <row r="120" spans="1:19" ht="15.75">
      <c r="A120" s="666"/>
      <c r="B120" s="666"/>
      <c r="C120" s="666"/>
      <c r="D120" s="666"/>
      <c r="E120" s="666"/>
      <c r="F120" s="666"/>
      <c r="G120" s="666"/>
      <c r="H120" s="666"/>
      <c r="I120" s="666"/>
      <c r="J120" s="666"/>
      <c r="K120" s="666"/>
      <c r="L120" s="666"/>
      <c r="M120" s="666"/>
      <c r="N120" s="666"/>
      <c r="O120" s="666"/>
      <c r="P120" s="666"/>
      <c r="Q120" s="666"/>
      <c r="R120" s="666"/>
      <c r="S120" s="666"/>
    </row>
    <row r="121" spans="1:19" ht="15.75">
      <c r="A121" s="666"/>
      <c r="B121" s="666"/>
      <c r="C121" s="666"/>
      <c r="D121" s="666"/>
      <c r="E121" s="666"/>
      <c r="F121" s="666"/>
      <c r="G121" s="666"/>
      <c r="H121" s="666"/>
      <c r="I121" s="666"/>
      <c r="J121" s="666"/>
      <c r="K121" s="666"/>
      <c r="L121" s="666"/>
      <c r="M121" s="666"/>
      <c r="N121" s="666"/>
      <c r="O121" s="666"/>
      <c r="P121" s="666"/>
      <c r="Q121" s="666"/>
      <c r="R121" s="666"/>
      <c r="S121" s="666"/>
    </row>
    <row r="122" spans="1:19" ht="15.75">
      <c r="A122" s="666"/>
      <c r="B122" s="666"/>
      <c r="C122" s="666"/>
      <c r="D122" s="666"/>
      <c r="E122" s="666"/>
      <c r="F122" s="666"/>
      <c r="G122" s="666"/>
      <c r="H122" s="666"/>
      <c r="I122" s="666"/>
      <c r="J122" s="666"/>
      <c r="K122" s="666"/>
      <c r="L122" s="666"/>
      <c r="M122" s="666"/>
      <c r="N122" s="666"/>
      <c r="O122" s="666"/>
      <c r="P122" s="666"/>
      <c r="Q122" s="666"/>
      <c r="R122" s="666"/>
      <c r="S122" s="666"/>
    </row>
    <row r="123" spans="1:19" ht="15.75">
      <c r="A123" s="666"/>
      <c r="B123" s="666"/>
      <c r="C123" s="666"/>
      <c r="D123" s="666"/>
      <c r="E123" s="666"/>
      <c r="F123" s="666"/>
      <c r="G123" s="666"/>
      <c r="H123" s="666"/>
      <c r="I123" s="666"/>
      <c r="J123" s="666"/>
      <c r="K123" s="666"/>
      <c r="L123" s="666"/>
      <c r="M123" s="666"/>
      <c r="N123" s="666"/>
      <c r="O123" s="666"/>
      <c r="P123" s="666"/>
      <c r="Q123" s="666"/>
      <c r="R123" s="666"/>
      <c r="S123" s="666"/>
    </row>
    <row r="124" spans="1:19" ht="15.75">
      <c r="A124" s="666"/>
      <c r="B124" s="666"/>
      <c r="C124" s="666"/>
      <c r="D124" s="666"/>
      <c r="E124" s="666"/>
      <c r="F124" s="666"/>
      <c r="G124" s="666"/>
      <c r="H124" s="666"/>
      <c r="I124" s="666"/>
      <c r="J124" s="666"/>
      <c r="K124" s="666"/>
      <c r="L124" s="666"/>
      <c r="M124" s="666"/>
      <c r="N124" s="666"/>
      <c r="O124" s="666"/>
      <c r="P124" s="666"/>
      <c r="Q124" s="666"/>
      <c r="R124" s="666"/>
      <c r="S124" s="666"/>
    </row>
    <row r="125" spans="1:19" ht="15.75">
      <c r="A125" s="666"/>
      <c r="B125" s="666"/>
      <c r="C125" s="666"/>
      <c r="D125" s="666"/>
      <c r="E125" s="666"/>
      <c r="F125" s="666"/>
      <c r="G125" s="666"/>
      <c r="H125" s="666"/>
      <c r="I125" s="666"/>
      <c r="J125" s="666"/>
      <c r="K125" s="666"/>
      <c r="L125" s="666"/>
      <c r="M125" s="666"/>
      <c r="N125" s="666"/>
      <c r="O125" s="666"/>
      <c r="P125" s="666"/>
      <c r="Q125" s="666"/>
      <c r="R125" s="666"/>
      <c r="S125" s="666"/>
    </row>
    <row r="126" spans="1:19" ht="15.75">
      <c r="A126" s="666"/>
      <c r="B126" s="666"/>
      <c r="C126" s="666"/>
      <c r="D126" s="666"/>
      <c r="E126" s="666"/>
      <c r="F126" s="666"/>
      <c r="G126" s="666"/>
      <c r="H126" s="666"/>
      <c r="I126" s="666"/>
      <c r="J126" s="666"/>
      <c r="K126" s="666"/>
      <c r="L126" s="666"/>
      <c r="M126" s="666"/>
      <c r="N126" s="666"/>
      <c r="O126" s="666"/>
      <c r="P126" s="666"/>
      <c r="Q126" s="666"/>
      <c r="R126" s="666"/>
      <c r="S126" s="666"/>
    </row>
    <row r="127" spans="1:19" ht="15.75">
      <c r="A127" s="666"/>
      <c r="B127" s="666"/>
      <c r="C127" s="666"/>
      <c r="D127" s="666"/>
      <c r="E127" s="666"/>
      <c r="F127" s="666"/>
      <c r="G127" s="666"/>
      <c r="H127" s="666"/>
      <c r="I127" s="666"/>
      <c r="J127" s="666"/>
      <c r="K127" s="666"/>
      <c r="L127" s="666"/>
      <c r="M127" s="666"/>
      <c r="N127" s="666"/>
      <c r="O127" s="666"/>
      <c r="P127" s="666"/>
      <c r="Q127" s="666"/>
      <c r="R127" s="666"/>
      <c r="S127" s="666"/>
    </row>
    <row r="128" spans="1:19" ht="15.75">
      <c r="A128" s="666"/>
      <c r="B128" s="666"/>
      <c r="C128" s="666"/>
      <c r="D128" s="666"/>
      <c r="E128" s="666"/>
      <c r="F128" s="666"/>
      <c r="G128" s="666"/>
      <c r="H128" s="666"/>
      <c r="I128" s="666"/>
      <c r="J128" s="666"/>
      <c r="K128" s="666"/>
      <c r="L128" s="666"/>
      <c r="M128" s="666"/>
      <c r="N128" s="666"/>
      <c r="O128" s="666"/>
      <c r="P128" s="666"/>
      <c r="Q128" s="666"/>
      <c r="R128" s="666"/>
      <c r="S128" s="666"/>
    </row>
    <row r="129" spans="1:19" ht="15.75">
      <c r="A129" s="666"/>
      <c r="B129" s="666"/>
      <c r="C129" s="666"/>
      <c r="D129" s="666"/>
      <c r="E129" s="666"/>
      <c r="F129" s="666"/>
      <c r="G129" s="666"/>
      <c r="H129" s="666"/>
      <c r="I129" s="666"/>
      <c r="J129" s="666"/>
      <c r="K129" s="666"/>
      <c r="L129" s="666"/>
      <c r="M129" s="666"/>
      <c r="N129" s="666"/>
      <c r="O129" s="666"/>
      <c r="P129" s="666"/>
      <c r="Q129" s="666"/>
      <c r="R129" s="666"/>
      <c r="S129" s="666"/>
    </row>
    <row r="130" spans="1:19" ht="15.75">
      <c r="A130" s="666"/>
      <c r="B130" s="666"/>
      <c r="C130" s="666"/>
      <c r="D130" s="666"/>
      <c r="E130" s="666"/>
      <c r="F130" s="666"/>
      <c r="G130" s="666"/>
      <c r="H130" s="666"/>
      <c r="I130" s="666"/>
      <c r="J130" s="666"/>
      <c r="K130" s="666"/>
      <c r="L130" s="666"/>
      <c r="M130" s="666"/>
      <c r="N130" s="666"/>
      <c r="O130" s="666"/>
      <c r="P130" s="666"/>
      <c r="Q130" s="666"/>
      <c r="R130" s="666"/>
      <c r="S130" s="666"/>
    </row>
    <row r="131" spans="1:19" ht="15.75">
      <c r="A131" s="666"/>
      <c r="B131" s="666"/>
      <c r="C131" s="666"/>
      <c r="D131" s="666"/>
      <c r="E131" s="666"/>
      <c r="F131" s="666"/>
      <c r="G131" s="666"/>
      <c r="H131" s="666"/>
      <c r="I131" s="666"/>
      <c r="J131" s="666"/>
      <c r="K131" s="666"/>
      <c r="L131" s="666"/>
      <c r="M131" s="666"/>
      <c r="N131" s="666"/>
      <c r="O131" s="666"/>
      <c r="P131" s="666"/>
      <c r="Q131" s="666"/>
      <c r="R131" s="666"/>
      <c r="S131" s="666"/>
    </row>
    <row r="132" spans="1:19" ht="15.75">
      <c r="A132" s="666"/>
      <c r="B132" s="666"/>
      <c r="C132" s="666"/>
      <c r="D132" s="666"/>
      <c r="E132" s="666"/>
      <c r="F132" s="666"/>
      <c r="G132" s="666"/>
      <c r="H132" s="666"/>
      <c r="I132" s="666"/>
      <c r="J132" s="666"/>
      <c r="K132" s="666"/>
      <c r="L132" s="666"/>
      <c r="M132" s="666"/>
      <c r="N132" s="666"/>
      <c r="O132" s="666"/>
      <c r="P132" s="666"/>
      <c r="Q132" s="666"/>
      <c r="R132" s="666"/>
      <c r="S132" s="666"/>
    </row>
    <row r="133" spans="1:19" ht="15.75">
      <c r="A133" s="666"/>
      <c r="B133" s="666"/>
      <c r="C133" s="666"/>
      <c r="D133" s="666"/>
      <c r="E133" s="666"/>
      <c r="F133" s="666"/>
      <c r="G133" s="666"/>
      <c r="H133" s="666"/>
      <c r="I133" s="666"/>
      <c r="J133" s="666"/>
      <c r="K133" s="666"/>
      <c r="L133" s="666"/>
      <c r="M133" s="666"/>
      <c r="N133" s="666"/>
      <c r="O133" s="666"/>
      <c r="P133" s="666"/>
      <c r="Q133" s="666"/>
      <c r="R133" s="666"/>
      <c r="S133" s="666"/>
    </row>
    <row r="134" spans="1:19" ht="15.75">
      <c r="A134" s="666"/>
      <c r="B134" s="666"/>
      <c r="C134" s="666"/>
      <c r="D134" s="666"/>
      <c r="E134" s="666"/>
      <c r="F134" s="666"/>
      <c r="G134" s="666"/>
      <c r="H134" s="666"/>
      <c r="I134" s="666"/>
      <c r="J134" s="666"/>
      <c r="K134" s="666"/>
      <c r="L134" s="666"/>
      <c r="M134" s="666"/>
      <c r="N134" s="666"/>
      <c r="O134" s="666"/>
      <c r="P134" s="666"/>
      <c r="Q134" s="666"/>
      <c r="R134" s="666"/>
      <c r="S134" s="666"/>
    </row>
    <row r="135" spans="1:19" ht="15.75">
      <c r="A135" s="666"/>
      <c r="B135" s="666"/>
      <c r="C135" s="666"/>
      <c r="D135" s="666"/>
      <c r="E135" s="666"/>
      <c r="F135" s="666"/>
      <c r="G135" s="666"/>
      <c r="H135" s="666"/>
      <c r="I135" s="666"/>
      <c r="J135" s="666"/>
      <c r="K135" s="666"/>
      <c r="L135" s="666"/>
      <c r="M135" s="666"/>
      <c r="N135" s="666"/>
      <c r="O135" s="666"/>
      <c r="P135" s="666"/>
      <c r="Q135" s="666"/>
      <c r="R135" s="666"/>
      <c r="S135" s="666"/>
    </row>
    <row r="136" spans="1:19" ht="15.75">
      <c r="A136" s="666"/>
      <c r="B136" s="666"/>
      <c r="C136" s="666"/>
      <c r="D136" s="666"/>
      <c r="E136" s="666"/>
      <c r="F136" s="666"/>
      <c r="G136" s="666"/>
      <c r="H136" s="666"/>
      <c r="I136" s="666"/>
      <c r="J136" s="666"/>
      <c r="K136" s="666"/>
      <c r="L136" s="666"/>
      <c r="M136" s="666"/>
      <c r="N136" s="666"/>
      <c r="O136" s="666"/>
      <c r="P136" s="666"/>
      <c r="Q136" s="666"/>
      <c r="R136" s="666"/>
      <c r="S136" s="666"/>
    </row>
    <row r="137" spans="1:19" ht="15.75">
      <c r="A137" s="666"/>
      <c r="B137" s="666"/>
      <c r="C137" s="666"/>
      <c r="D137" s="666"/>
      <c r="E137" s="666"/>
      <c r="F137" s="666"/>
      <c r="G137" s="666"/>
      <c r="H137" s="666"/>
      <c r="I137" s="666"/>
      <c r="J137" s="666"/>
      <c r="K137" s="666"/>
      <c r="L137" s="666"/>
      <c r="M137" s="666"/>
      <c r="N137" s="666"/>
      <c r="O137" s="666"/>
      <c r="P137" s="666"/>
      <c r="Q137" s="666"/>
      <c r="R137" s="666"/>
      <c r="S137" s="666"/>
    </row>
    <row r="138" spans="1:19" ht="15.75">
      <c r="A138" s="666"/>
      <c r="B138" s="666"/>
      <c r="C138" s="666"/>
      <c r="D138" s="666"/>
      <c r="E138" s="666"/>
      <c r="F138" s="666"/>
      <c r="G138" s="666"/>
      <c r="H138" s="666"/>
      <c r="I138" s="666"/>
      <c r="J138" s="666"/>
      <c r="K138" s="666"/>
      <c r="L138" s="666"/>
      <c r="M138" s="666"/>
      <c r="N138" s="666"/>
      <c r="O138" s="666"/>
      <c r="P138" s="666"/>
      <c r="Q138" s="666"/>
      <c r="R138" s="666"/>
      <c r="S138" s="666"/>
    </row>
    <row r="139" spans="1:19" ht="15.75">
      <c r="A139" s="666"/>
      <c r="B139" s="666"/>
      <c r="C139" s="666"/>
      <c r="D139" s="666"/>
      <c r="E139" s="666"/>
      <c r="F139" s="666"/>
      <c r="G139" s="666"/>
      <c r="H139" s="666"/>
      <c r="I139" s="666"/>
      <c r="J139" s="666"/>
      <c r="K139" s="666"/>
      <c r="L139" s="666"/>
      <c r="M139" s="666"/>
      <c r="N139" s="666"/>
      <c r="O139" s="666"/>
      <c r="P139" s="666"/>
      <c r="Q139" s="666"/>
      <c r="R139" s="666"/>
      <c r="S139" s="666"/>
    </row>
    <row r="140" spans="1:19" ht="15.75">
      <c r="A140" s="666"/>
      <c r="B140" s="666"/>
      <c r="C140" s="666"/>
      <c r="D140" s="666"/>
      <c r="E140" s="666"/>
      <c r="F140" s="666"/>
      <c r="G140" s="666"/>
      <c r="H140" s="666"/>
      <c r="I140" s="666"/>
      <c r="J140" s="666"/>
      <c r="K140" s="666"/>
      <c r="L140" s="666"/>
      <c r="M140" s="666"/>
      <c r="N140" s="666"/>
      <c r="O140" s="666"/>
      <c r="P140" s="666"/>
      <c r="Q140" s="666"/>
      <c r="R140" s="666"/>
      <c r="S140" s="666"/>
    </row>
    <row r="141" spans="1:19" ht="15.75">
      <c r="A141" s="666"/>
      <c r="B141" s="666"/>
      <c r="C141" s="666"/>
      <c r="D141" s="666"/>
      <c r="E141" s="666"/>
      <c r="F141" s="666"/>
      <c r="G141" s="666"/>
      <c r="H141" s="666"/>
      <c r="I141" s="666"/>
      <c r="J141" s="666"/>
      <c r="K141" s="666"/>
      <c r="L141" s="666"/>
      <c r="M141" s="666"/>
      <c r="N141" s="666"/>
      <c r="O141" s="666"/>
      <c r="P141" s="666"/>
      <c r="Q141" s="666"/>
      <c r="R141" s="666"/>
      <c r="S141" s="666"/>
    </row>
    <row r="142" spans="1:19" ht="15.75">
      <c r="A142" s="666"/>
      <c r="B142" s="666"/>
      <c r="C142" s="666"/>
      <c r="D142" s="666"/>
      <c r="E142" s="666"/>
      <c r="F142" s="666"/>
      <c r="G142" s="666"/>
      <c r="H142" s="666"/>
      <c r="I142" s="666"/>
      <c r="J142" s="666"/>
      <c r="K142" s="666"/>
      <c r="L142" s="666"/>
      <c r="M142" s="666"/>
      <c r="N142" s="666"/>
      <c r="O142" s="666"/>
      <c r="P142" s="666"/>
      <c r="Q142" s="666"/>
      <c r="R142" s="666"/>
      <c r="S142" s="666"/>
    </row>
    <row r="143" spans="1:19" ht="15.75">
      <c r="A143" s="666"/>
      <c r="B143" s="666"/>
      <c r="C143" s="666"/>
      <c r="D143" s="666"/>
      <c r="E143" s="666"/>
      <c r="F143" s="666"/>
      <c r="G143" s="666"/>
      <c r="H143" s="666"/>
      <c r="I143" s="666"/>
      <c r="J143" s="666"/>
      <c r="K143" s="666"/>
      <c r="L143" s="666"/>
      <c r="M143" s="666"/>
      <c r="N143" s="666"/>
      <c r="O143" s="666"/>
      <c r="P143" s="666"/>
      <c r="Q143" s="666"/>
      <c r="R143" s="666"/>
      <c r="S143" s="666"/>
    </row>
    <row r="144" spans="1:19" ht="15.75">
      <c r="A144" s="666"/>
      <c r="B144" s="666"/>
      <c r="C144" s="666"/>
      <c r="D144" s="666"/>
      <c r="E144" s="666"/>
      <c r="F144" s="666"/>
      <c r="G144" s="666"/>
      <c r="H144" s="666"/>
      <c r="I144" s="666"/>
      <c r="J144" s="666"/>
      <c r="K144" s="666"/>
      <c r="L144" s="666"/>
      <c r="M144" s="666"/>
      <c r="N144" s="666"/>
      <c r="O144" s="666"/>
      <c r="P144" s="666"/>
      <c r="Q144" s="666"/>
      <c r="R144" s="666"/>
      <c r="S144" s="666"/>
    </row>
    <row r="145" spans="1:19" ht="15.75">
      <c r="A145" s="666"/>
      <c r="B145" s="666"/>
      <c r="C145" s="666"/>
      <c r="D145" s="666"/>
      <c r="E145" s="666"/>
      <c r="F145" s="666"/>
      <c r="G145" s="666"/>
      <c r="H145" s="666"/>
      <c r="I145" s="666"/>
      <c r="J145" s="666"/>
      <c r="K145" s="666"/>
      <c r="L145" s="666"/>
      <c r="M145" s="666"/>
      <c r="N145" s="666"/>
      <c r="O145" s="666"/>
      <c r="P145" s="666"/>
      <c r="Q145" s="666"/>
      <c r="R145" s="666"/>
      <c r="S145" s="666"/>
    </row>
    <row r="146" spans="1:19" ht="15.75">
      <c r="A146" s="666"/>
      <c r="B146" s="666"/>
      <c r="C146" s="666"/>
      <c r="D146" s="666"/>
      <c r="E146" s="666"/>
      <c r="F146" s="666"/>
      <c r="G146" s="666"/>
      <c r="H146" s="666"/>
      <c r="I146" s="666"/>
      <c r="J146" s="666"/>
      <c r="K146" s="666"/>
      <c r="L146" s="666"/>
      <c r="M146" s="666"/>
      <c r="N146" s="666"/>
      <c r="O146" s="666"/>
      <c r="P146" s="666"/>
      <c r="Q146" s="666"/>
      <c r="R146" s="666"/>
      <c r="S146" s="666"/>
    </row>
    <row r="147" spans="1:19" ht="15.75">
      <c r="A147" s="666"/>
      <c r="B147" s="666"/>
      <c r="C147" s="666"/>
      <c r="D147" s="666"/>
      <c r="E147" s="666"/>
      <c r="F147" s="666"/>
      <c r="G147" s="666"/>
      <c r="H147" s="666"/>
      <c r="I147" s="666"/>
      <c r="J147" s="666"/>
      <c r="K147" s="666"/>
      <c r="L147" s="666"/>
      <c r="M147" s="666"/>
      <c r="N147" s="666"/>
      <c r="O147" s="666"/>
      <c r="P147" s="666"/>
      <c r="Q147" s="666"/>
      <c r="R147" s="666"/>
      <c r="S147" s="666"/>
    </row>
    <row r="148" spans="1:19" ht="15.75">
      <c r="A148" s="666"/>
      <c r="B148" s="666"/>
      <c r="C148" s="666"/>
      <c r="D148" s="666"/>
      <c r="E148" s="666"/>
      <c r="F148" s="666"/>
      <c r="G148" s="666"/>
      <c r="H148" s="666"/>
      <c r="I148" s="666"/>
      <c r="J148" s="666"/>
      <c r="K148" s="666"/>
      <c r="L148" s="666"/>
      <c r="M148" s="666"/>
      <c r="N148" s="666"/>
      <c r="O148" s="666"/>
      <c r="P148" s="666"/>
      <c r="Q148" s="666"/>
      <c r="R148" s="666"/>
      <c r="S148" s="666"/>
    </row>
    <row r="149" spans="1:19" ht="15.75">
      <c r="A149" s="666"/>
      <c r="B149" s="666"/>
      <c r="C149" s="666"/>
      <c r="D149" s="666"/>
      <c r="E149" s="666"/>
      <c r="F149" s="666"/>
      <c r="G149" s="666"/>
      <c r="H149" s="666"/>
      <c r="I149" s="666"/>
      <c r="J149" s="666"/>
      <c r="K149" s="666"/>
      <c r="L149" s="666"/>
      <c r="M149" s="666"/>
      <c r="N149" s="666"/>
      <c r="O149" s="666"/>
      <c r="P149" s="666"/>
      <c r="Q149" s="666"/>
      <c r="R149" s="666"/>
      <c r="S149" s="666"/>
    </row>
    <row r="150" spans="1:19" ht="15.75">
      <c r="A150" s="666"/>
      <c r="B150" s="666"/>
      <c r="C150" s="666"/>
      <c r="D150" s="666"/>
      <c r="E150" s="666"/>
      <c r="F150" s="666"/>
      <c r="G150" s="666"/>
      <c r="H150" s="666"/>
      <c r="I150" s="666"/>
      <c r="J150" s="666"/>
      <c r="K150" s="666"/>
      <c r="L150" s="666"/>
      <c r="M150" s="666"/>
      <c r="N150" s="666"/>
      <c r="O150" s="666"/>
      <c r="P150" s="666"/>
      <c r="Q150" s="666"/>
      <c r="R150" s="666"/>
      <c r="S150" s="666"/>
    </row>
    <row r="151" spans="1:19" ht="15.75">
      <c r="A151" s="666"/>
      <c r="B151" s="666"/>
      <c r="C151" s="666"/>
      <c r="D151" s="666"/>
      <c r="E151" s="666"/>
      <c r="F151" s="666"/>
      <c r="G151" s="666"/>
      <c r="H151" s="666"/>
      <c r="I151" s="666"/>
      <c r="J151" s="666"/>
      <c r="K151" s="666"/>
      <c r="L151" s="666"/>
      <c r="M151" s="666"/>
      <c r="N151" s="666"/>
      <c r="O151" s="666"/>
      <c r="P151" s="666"/>
      <c r="Q151" s="666"/>
      <c r="R151" s="666"/>
      <c r="S151" s="666"/>
    </row>
    <row r="152" spans="1:19" ht="15.75">
      <c r="A152" s="666"/>
      <c r="B152" s="666"/>
      <c r="C152" s="666"/>
      <c r="D152" s="666"/>
      <c r="E152" s="666"/>
      <c r="F152" s="666"/>
      <c r="G152" s="666"/>
      <c r="H152" s="666"/>
      <c r="I152" s="666"/>
      <c r="J152" s="666"/>
      <c r="K152" s="666"/>
      <c r="L152" s="666"/>
      <c r="M152" s="666"/>
      <c r="N152" s="666"/>
      <c r="O152" s="666"/>
      <c r="P152" s="666"/>
      <c r="Q152" s="666"/>
      <c r="R152" s="666"/>
      <c r="S152" s="666"/>
    </row>
    <row r="153" spans="1:19" ht="15.75">
      <c r="A153" s="666"/>
      <c r="B153" s="666"/>
      <c r="C153" s="666"/>
      <c r="D153" s="666"/>
      <c r="E153" s="666"/>
      <c r="F153" s="666"/>
      <c r="G153" s="666"/>
      <c r="H153" s="666"/>
      <c r="I153" s="666"/>
      <c r="J153" s="666"/>
      <c r="K153" s="666"/>
      <c r="L153" s="666"/>
      <c r="M153" s="666"/>
      <c r="N153" s="666"/>
      <c r="O153" s="666"/>
      <c r="P153" s="666"/>
      <c r="Q153" s="666"/>
      <c r="R153" s="666"/>
      <c r="S153" s="666"/>
    </row>
    <row r="154" spans="1:19" ht="15.75">
      <c r="A154" s="666"/>
      <c r="B154" s="666"/>
      <c r="C154" s="666"/>
      <c r="D154" s="666"/>
      <c r="E154" s="666"/>
      <c r="F154" s="666"/>
      <c r="G154" s="666"/>
      <c r="H154" s="666"/>
      <c r="I154" s="666"/>
      <c r="J154" s="666"/>
      <c r="K154" s="666"/>
      <c r="L154" s="666"/>
      <c r="M154" s="666"/>
      <c r="N154" s="666"/>
      <c r="O154" s="666"/>
      <c r="P154" s="666"/>
      <c r="Q154" s="666"/>
      <c r="R154" s="666"/>
      <c r="S154" s="666"/>
    </row>
    <row r="155" spans="1:19" ht="15.75">
      <c r="A155" s="666"/>
      <c r="B155" s="666"/>
      <c r="C155" s="666"/>
      <c r="D155" s="666"/>
      <c r="E155" s="666"/>
      <c r="F155" s="666"/>
      <c r="G155" s="666"/>
      <c r="H155" s="666"/>
      <c r="I155" s="666"/>
      <c r="J155" s="666"/>
      <c r="K155" s="666"/>
      <c r="L155" s="666"/>
      <c r="M155" s="666"/>
      <c r="N155" s="666"/>
      <c r="O155" s="666"/>
      <c r="P155" s="666"/>
      <c r="Q155" s="666"/>
      <c r="R155" s="666"/>
      <c r="S155" s="666"/>
    </row>
    <row r="156" spans="1:19" ht="15.75">
      <c r="A156" s="666"/>
      <c r="B156" s="666"/>
      <c r="C156" s="666"/>
      <c r="D156" s="666"/>
      <c r="E156" s="666"/>
      <c r="F156" s="666"/>
      <c r="G156" s="666"/>
      <c r="H156" s="666"/>
      <c r="I156" s="666"/>
      <c r="J156" s="666"/>
      <c r="K156" s="666"/>
      <c r="L156" s="666"/>
      <c r="M156" s="666"/>
      <c r="N156" s="666"/>
      <c r="O156" s="666"/>
      <c r="P156" s="666"/>
      <c r="Q156" s="666"/>
      <c r="R156" s="666"/>
      <c r="S156" s="666"/>
    </row>
    <row r="157" spans="1:19" ht="15.75">
      <c r="A157" s="666"/>
      <c r="B157" s="666"/>
      <c r="C157" s="666"/>
      <c r="D157" s="666"/>
      <c r="E157" s="666"/>
      <c r="F157" s="666"/>
      <c r="G157" s="666"/>
      <c r="H157" s="666"/>
      <c r="I157" s="666"/>
      <c r="J157" s="666"/>
      <c r="K157" s="666"/>
      <c r="L157" s="666"/>
      <c r="M157" s="666"/>
      <c r="N157" s="666"/>
      <c r="O157" s="666"/>
      <c r="P157" s="666"/>
      <c r="Q157" s="666"/>
      <c r="R157" s="666"/>
      <c r="S157" s="666"/>
    </row>
    <row r="158" spans="1:19" ht="15.75">
      <c r="A158" s="666"/>
      <c r="B158" s="666"/>
      <c r="C158" s="666"/>
      <c r="D158" s="666"/>
      <c r="E158" s="666"/>
      <c r="F158" s="666"/>
      <c r="G158" s="666"/>
      <c r="H158" s="666"/>
      <c r="I158" s="666"/>
      <c r="J158" s="666"/>
      <c r="K158" s="666"/>
      <c r="L158" s="666"/>
      <c r="M158" s="666"/>
      <c r="N158" s="666"/>
      <c r="O158" s="666"/>
      <c r="P158" s="666"/>
      <c r="Q158" s="666"/>
      <c r="R158" s="666"/>
      <c r="S158" s="666"/>
    </row>
    <row r="159" spans="1:19" ht="15.75">
      <c r="A159" s="666"/>
      <c r="B159" s="666"/>
      <c r="C159" s="666"/>
      <c r="D159" s="666"/>
      <c r="E159" s="666"/>
      <c r="F159" s="666"/>
      <c r="G159" s="666"/>
      <c r="H159" s="666"/>
      <c r="I159" s="666"/>
      <c r="J159" s="666"/>
      <c r="K159" s="666"/>
      <c r="L159" s="666"/>
      <c r="M159" s="666"/>
      <c r="N159" s="666"/>
      <c r="O159" s="666"/>
      <c r="P159" s="666"/>
      <c r="Q159" s="666"/>
      <c r="R159" s="666"/>
      <c r="S159" s="666"/>
    </row>
    <row r="160" spans="1:19" ht="15.75">
      <c r="A160" s="666"/>
      <c r="B160" s="666"/>
      <c r="C160" s="666"/>
      <c r="D160" s="666"/>
      <c r="E160" s="666"/>
      <c r="F160" s="666"/>
      <c r="G160" s="666"/>
      <c r="H160" s="666"/>
      <c r="I160" s="666"/>
      <c r="J160" s="666"/>
      <c r="K160" s="666"/>
      <c r="L160" s="666"/>
      <c r="M160" s="666"/>
      <c r="N160" s="666"/>
      <c r="O160" s="666"/>
      <c r="P160" s="666"/>
      <c r="Q160" s="666"/>
      <c r="R160" s="666"/>
      <c r="S160" s="666"/>
    </row>
    <row r="161" spans="1:19" ht="15.75">
      <c r="A161" s="666"/>
      <c r="B161" s="666"/>
      <c r="C161" s="666"/>
      <c r="D161" s="666"/>
      <c r="E161" s="666"/>
      <c r="F161" s="666"/>
      <c r="G161" s="666"/>
      <c r="H161" s="666"/>
      <c r="I161" s="666"/>
      <c r="J161" s="666"/>
      <c r="K161" s="666"/>
      <c r="L161" s="666"/>
      <c r="M161" s="666"/>
      <c r="N161" s="666"/>
      <c r="O161" s="666"/>
      <c r="P161" s="666"/>
      <c r="Q161" s="666"/>
      <c r="R161" s="666"/>
      <c r="S161" s="666"/>
    </row>
    <row r="162" spans="1:19" ht="15.75">
      <c r="A162" s="666"/>
      <c r="B162" s="666"/>
      <c r="C162" s="666"/>
      <c r="D162" s="666"/>
      <c r="E162" s="666"/>
      <c r="F162" s="666"/>
      <c r="G162" s="666"/>
      <c r="H162" s="666"/>
      <c r="I162" s="666"/>
      <c r="J162" s="666"/>
      <c r="K162" s="666"/>
      <c r="L162" s="666"/>
      <c r="M162" s="666"/>
      <c r="N162" s="666"/>
      <c r="O162" s="666"/>
      <c r="P162" s="666"/>
      <c r="Q162" s="666"/>
      <c r="R162" s="666"/>
      <c r="S162" s="666"/>
    </row>
    <row r="163" spans="1:19" ht="15.75">
      <c r="A163" s="666"/>
      <c r="B163" s="666"/>
      <c r="C163" s="666"/>
      <c r="D163" s="666"/>
      <c r="E163" s="666"/>
      <c r="F163" s="666"/>
      <c r="G163" s="666"/>
      <c r="H163" s="666"/>
      <c r="I163" s="666"/>
      <c r="J163" s="666"/>
      <c r="K163" s="666"/>
      <c r="L163" s="666"/>
      <c r="M163" s="666"/>
      <c r="N163" s="666"/>
      <c r="O163" s="666"/>
      <c r="P163" s="666"/>
      <c r="Q163" s="666"/>
      <c r="R163" s="666"/>
      <c r="S163" s="666"/>
    </row>
    <row r="164" spans="1:19" ht="15.75">
      <c r="A164" s="666"/>
      <c r="B164" s="666"/>
      <c r="C164" s="666"/>
      <c r="D164" s="666"/>
      <c r="E164" s="666"/>
      <c r="F164" s="666"/>
      <c r="G164" s="666"/>
      <c r="H164" s="666"/>
      <c r="I164" s="666"/>
      <c r="J164" s="666"/>
      <c r="K164" s="666"/>
      <c r="L164" s="666"/>
      <c r="M164" s="666"/>
      <c r="N164" s="666"/>
      <c r="O164" s="666"/>
      <c r="P164" s="666"/>
      <c r="Q164" s="666"/>
      <c r="R164" s="666"/>
      <c r="S164" s="666"/>
    </row>
    <row r="165" spans="1:19" ht="15.75">
      <c r="A165" s="666"/>
      <c r="B165" s="666"/>
      <c r="C165" s="666"/>
      <c r="D165" s="666"/>
      <c r="E165" s="666"/>
      <c r="F165" s="666"/>
      <c r="G165" s="666"/>
      <c r="H165" s="666"/>
      <c r="I165" s="666"/>
      <c r="J165" s="666"/>
      <c r="K165" s="666"/>
      <c r="L165" s="666"/>
      <c r="M165" s="666"/>
      <c r="N165" s="666"/>
      <c r="O165" s="666"/>
      <c r="P165" s="666"/>
      <c r="Q165" s="666"/>
      <c r="R165" s="666"/>
      <c r="S165" s="666"/>
    </row>
    <row r="166" spans="1:19" ht="15.75">
      <c r="A166" s="666"/>
      <c r="B166" s="666"/>
      <c r="C166" s="666"/>
      <c r="D166" s="666"/>
      <c r="E166" s="666"/>
      <c r="F166" s="666"/>
      <c r="G166" s="666"/>
      <c r="H166" s="666"/>
      <c r="I166" s="666"/>
      <c r="J166" s="666"/>
      <c r="K166" s="666"/>
      <c r="L166" s="666"/>
      <c r="M166" s="666"/>
      <c r="N166" s="666"/>
      <c r="O166" s="666"/>
      <c r="P166" s="666"/>
      <c r="Q166" s="666"/>
      <c r="R166" s="666"/>
      <c r="S166" s="666"/>
    </row>
    <row r="167" spans="1:19" ht="15.75">
      <c r="A167" s="666"/>
      <c r="B167" s="666"/>
      <c r="C167" s="666"/>
      <c r="D167" s="666"/>
      <c r="E167" s="666"/>
      <c r="F167" s="666"/>
      <c r="G167" s="666"/>
      <c r="H167" s="666"/>
      <c r="I167" s="666"/>
      <c r="J167" s="666"/>
      <c r="K167" s="666"/>
      <c r="L167" s="666"/>
      <c r="M167" s="666"/>
      <c r="N167" s="666"/>
      <c r="O167" s="666"/>
      <c r="P167" s="666"/>
      <c r="Q167" s="666"/>
      <c r="R167" s="666"/>
      <c r="S167" s="666"/>
    </row>
    <row r="168" spans="1:19" ht="15.75">
      <c r="A168" s="666"/>
      <c r="B168" s="666"/>
      <c r="C168" s="666"/>
      <c r="D168" s="666"/>
      <c r="E168" s="666"/>
      <c r="F168" s="666"/>
      <c r="G168" s="666"/>
      <c r="H168" s="666"/>
      <c r="I168" s="666"/>
      <c r="J168" s="666"/>
      <c r="K168" s="666"/>
      <c r="L168" s="666"/>
      <c r="M168" s="666"/>
      <c r="N168" s="666"/>
      <c r="O168" s="666"/>
      <c r="P168" s="666"/>
      <c r="Q168" s="666"/>
      <c r="R168" s="666"/>
      <c r="S168" s="666"/>
    </row>
    <row r="169" spans="1:19" ht="15.75">
      <c r="A169" s="666"/>
      <c r="B169" s="666"/>
      <c r="C169" s="666"/>
      <c r="D169" s="666"/>
      <c r="E169" s="666"/>
      <c r="F169" s="666"/>
      <c r="G169" s="666"/>
      <c r="H169" s="666"/>
      <c r="I169" s="666"/>
      <c r="J169" s="666"/>
      <c r="K169" s="666"/>
      <c r="L169" s="666"/>
      <c r="M169" s="666"/>
      <c r="N169" s="666"/>
      <c r="O169" s="666"/>
      <c r="P169" s="666"/>
      <c r="Q169" s="666"/>
      <c r="R169" s="666"/>
      <c r="S169" s="666"/>
    </row>
    <row r="170" spans="1:19" ht="15.75">
      <c r="A170" s="666"/>
      <c r="B170" s="666"/>
      <c r="C170" s="666"/>
      <c r="D170" s="666"/>
      <c r="E170" s="666"/>
      <c r="F170" s="666"/>
      <c r="G170" s="666"/>
      <c r="H170" s="666"/>
      <c r="I170" s="666"/>
      <c r="J170" s="666"/>
      <c r="K170" s="666"/>
      <c r="L170" s="666"/>
      <c r="M170" s="666"/>
      <c r="N170" s="666"/>
      <c r="O170" s="666"/>
      <c r="P170" s="666"/>
      <c r="Q170" s="666"/>
      <c r="R170" s="666"/>
      <c r="S170" s="666"/>
    </row>
    <row r="171" spans="1:19" ht="15.75">
      <c r="A171" s="666"/>
      <c r="B171" s="666"/>
      <c r="C171" s="666"/>
      <c r="D171" s="666"/>
      <c r="E171" s="666"/>
      <c r="F171" s="666"/>
      <c r="G171" s="666"/>
      <c r="H171" s="666"/>
      <c r="I171" s="666"/>
      <c r="J171" s="666"/>
      <c r="K171" s="666"/>
      <c r="L171" s="666"/>
      <c r="M171" s="666"/>
      <c r="N171" s="666"/>
      <c r="O171" s="666"/>
      <c r="P171" s="666"/>
      <c r="Q171" s="666"/>
      <c r="R171" s="666"/>
      <c r="S171" s="666"/>
    </row>
    <row r="172" spans="1:19" ht="15.75">
      <c r="A172" s="666"/>
      <c r="B172" s="666"/>
      <c r="C172" s="666"/>
      <c r="D172" s="666"/>
      <c r="E172" s="666"/>
      <c r="F172" s="666"/>
      <c r="G172" s="666"/>
      <c r="H172" s="666"/>
      <c r="I172" s="666"/>
      <c r="J172" s="666"/>
      <c r="K172" s="666"/>
      <c r="L172" s="666"/>
      <c r="M172" s="666"/>
      <c r="N172" s="666"/>
      <c r="O172" s="666"/>
      <c r="P172" s="666"/>
      <c r="Q172" s="666"/>
      <c r="R172" s="666"/>
      <c r="S172" s="666"/>
    </row>
    <row r="173" spans="1:19" ht="15.75">
      <c r="A173" s="666"/>
      <c r="B173" s="666"/>
      <c r="C173" s="666"/>
      <c r="D173" s="666"/>
      <c r="E173" s="666"/>
      <c r="F173" s="666"/>
      <c r="G173" s="666"/>
      <c r="H173" s="666"/>
      <c r="I173" s="666"/>
      <c r="J173" s="666"/>
      <c r="K173" s="666"/>
      <c r="L173" s="666"/>
      <c r="M173" s="666"/>
      <c r="N173" s="666"/>
      <c r="O173" s="666"/>
      <c r="P173" s="666"/>
      <c r="Q173" s="666"/>
      <c r="R173" s="666"/>
      <c r="S173" s="666"/>
    </row>
    <row r="174" spans="1:19" ht="15.75">
      <c r="A174" s="666"/>
      <c r="B174" s="666"/>
      <c r="C174" s="666"/>
      <c r="D174" s="666"/>
      <c r="E174" s="666"/>
      <c r="F174" s="666"/>
      <c r="G174" s="666"/>
      <c r="H174" s="666"/>
      <c r="I174" s="666"/>
      <c r="J174" s="666"/>
      <c r="K174" s="666"/>
      <c r="L174" s="666"/>
      <c r="M174" s="666"/>
      <c r="N174" s="666"/>
      <c r="O174" s="666"/>
      <c r="P174" s="666"/>
      <c r="Q174" s="666"/>
      <c r="R174" s="666"/>
      <c r="S174" s="666"/>
    </row>
    <row r="175" spans="1:19" ht="15.75">
      <c r="A175" s="666"/>
      <c r="B175" s="666"/>
      <c r="C175" s="666"/>
      <c r="D175" s="666"/>
      <c r="E175" s="666"/>
      <c r="F175" s="666"/>
      <c r="G175" s="666"/>
      <c r="H175" s="666"/>
      <c r="I175" s="666"/>
      <c r="J175" s="666"/>
      <c r="K175" s="666"/>
      <c r="L175" s="666"/>
      <c r="M175" s="666"/>
      <c r="N175" s="666"/>
      <c r="O175" s="666"/>
      <c r="P175" s="666"/>
      <c r="Q175" s="666"/>
      <c r="R175" s="666"/>
      <c r="S175" s="666"/>
    </row>
    <row r="176" spans="1:19" ht="15.75">
      <c r="A176" s="666"/>
      <c r="B176" s="666"/>
      <c r="C176" s="666"/>
      <c r="D176" s="666"/>
      <c r="E176" s="666"/>
      <c r="F176" s="666"/>
      <c r="G176" s="666"/>
      <c r="H176" s="666"/>
      <c r="I176" s="666"/>
      <c r="J176" s="666"/>
      <c r="K176" s="666"/>
      <c r="L176" s="666"/>
      <c r="M176" s="666"/>
      <c r="N176" s="666"/>
      <c r="O176" s="666"/>
      <c r="P176" s="666"/>
      <c r="Q176" s="666"/>
      <c r="R176" s="666"/>
      <c r="S176" s="666"/>
    </row>
    <row r="177" spans="1:19" ht="15.75">
      <c r="A177" s="666"/>
      <c r="B177" s="666"/>
      <c r="C177" s="666"/>
      <c r="D177" s="666"/>
      <c r="E177" s="666"/>
      <c r="F177" s="666"/>
      <c r="G177" s="666"/>
      <c r="H177" s="666"/>
      <c r="I177" s="666"/>
      <c r="J177" s="666"/>
      <c r="K177" s="666"/>
      <c r="L177" s="666"/>
      <c r="M177" s="666"/>
      <c r="N177" s="666"/>
      <c r="O177" s="666"/>
      <c r="P177" s="666"/>
      <c r="Q177" s="666"/>
      <c r="R177" s="666"/>
      <c r="S177" s="666"/>
    </row>
    <row r="178" spans="1:19" ht="15.75">
      <c r="A178" s="666"/>
      <c r="B178" s="666"/>
      <c r="C178" s="666"/>
      <c r="D178" s="666"/>
      <c r="E178" s="666"/>
      <c r="F178" s="666"/>
      <c r="G178" s="666"/>
      <c r="H178" s="666"/>
      <c r="I178" s="666"/>
      <c r="J178" s="666"/>
      <c r="K178" s="666"/>
      <c r="L178" s="666"/>
      <c r="M178" s="666"/>
      <c r="N178" s="666"/>
      <c r="O178" s="666"/>
      <c r="P178" s="666"/>
      <c r="Q178" s="666"/>
      <c r="R178" s="666"/>
      <c r="S178" s="666"/>
    </row>
    <row r="179" spans="1:19" ht="15.75">
      <c r="A179" s="666"/>
      <c r="B179" s="666"/>
      <c r="C179" s="666"/>
      <c r="D179" s="666"/>
      <c r="E179" s="666"/>
      <c r="F179" s="666"/>
      <c r="G179" s="666"/>
      <c r="H179" s="666"/>
      <c r="I179" s="666"/>
      <c r="J179" s="666"/>
      <c r="K179" s="666"/>
      <c r="L179" s="666"/>
      <c r="M179" s="666"/>
      <c r="N179" s="666"/>
      <c r="O179" s="666"/>
      <c r="P179" s="666"/>
      <c r="Q179" s="666"/>
      <c r="R179" s="666"/>
      <c r="S179" s="666"/>
    </row>
    <row r="180" spans="1:19" ht="15.75">
      <c r="A180" s="666"/>
      <c r="B180" s="666"/>
      <c r="C180" s="666"/>
      <c r="D180" s="666"/>
      <c r="E180" s="666"/>
      <c r="F180" s="666"/>
      <c r="G180" s="666"/>
      <c r="H180" s="666"/>
      <c r="I180" s="666"/>
      <c r="J180" s="666"/>
      <c r="K180" s="666"/>
      <c r="L180" s="666"/>
      <c r="M180" s="666"/>
      <c r="N180" s="666"/>
      <c r="O180" s="666"/>
      <c r="P180" s="666"/>
      <c r="Q180" s="666"/>
      <c r="R180" s="666"/>
      <c r="S180" s="666"/>
    </row>
    <row r="181" spans="1:19" ht="15.75">
      <c r="A181" s="666"/>
      <c r="B181" s="666"/>
      <c r="C181" s="666"/>
      <c r="D181" s="666"/>
      <c r="E181" s="666"/>
      <c r="F181" s="666"/>
      <c r="G181" s="666"/>
      <c r="H181" s="666"/>
      <c r="I181" s="666"/>
      <c r="J181" s="666"/>
      <c r="K181" s="666"/>
      <c r="L181" s="666"/>
      <c r="M181" s="666"/>
      <c r="N181" s="666"/>
      <c r="O181" s="666"/>
      <c r="P181" s="666"/>
      <c r="Q181" s="666"/>
      <c r="R181" s="666"/>
      <c r="S181" s="666"/>
    </row>
    <row r="182" spans="1:19" ht="15.75">
      <c r="A182" s="666"/>
      <c r="B182" s="666"/>
      <c r="C182" s="666"/>
      <c r="D182" s="666"/>
      <c r="E182" s="666"/>
      <c r="F182" s="666"/>
      <c r="G182" s="666"/>
      <c r="H182" s="666"/>
      <c r="I182" s="666"/>
      <c r="J182" s="666"/>
      <c r="K182" s="666"/>
      <c r="L182" s="666"/>
      <c r="M182" s="666"/>
      <c r="N182" s="666"/>
      <c r="O182" s="666"/>
      <c r="P182" s="666"/>
      <c r="Q182" s="666"/>
      <c r="R182" s="666"/>
      <c r="S182" s="666"/>
    </row>
    <row r="183" spans="1:19" ht="15.75">
      <c r="A183" s="666"/>
      <c r="B183" s="666"/>
      <c r="C183" s="666"/>
      <c r="D183" s="666"/>
      <c r="E183" s="666"/>
      <c r="F183" s="666"/>
      <c r="G183" s="666"/>
      <c r="H183" s="666"/>
      <c r="I183" s="666"/>
      <c r="J183" s="666"/>
      <c r="K183" s="666"/>
      <c r="L183" s="666"/>
      <c r="M183" s="666"/>
      <c r="N183" s="666"/>
      <c r="O183" s="666"/>
      <c r="P183" s="666"/>
      <c r="Q183" s="666"/>
      <c r="R183" s="666"/>
      <c r="S183" s="666"/>
    </row>
    <row r="184" spans="1:19" ht="15.75">
      <c r="A184" s="666"/>
      <c r="B184" s="666"/>
      <c r="C184" s="666"/>
      <c r="D184" s="666"/>
      <c r="E184" s="666"/>
      <c r="F184" s="666"/>
      <c r="G184" s="666"/>
      <c r="H184" s="666"/>
      <c r="I184" s="666"/>
      <c r="J184" s="666"/>
      <c r="K184" s="666"/>
      <c r="L184" s="666"/>
      <c r="M184" s="666"/>
      <c r="N184" s="666"/>
      <c r="O184" s="666"/>
      <c r="P184" s="666"/>
      <c r="Q184" s="666"/>
      <c r="R184" s="666"/>
      <c r="S184" s="666"/>
    </row>
    <row r="185" spans="1:19" ht="15.75">
      <c r="A185" s="666"/>
      <c r="B185" s="666"/>
      <c r="C185" s="666"/>
      <c r="D185" s="666"/>
      <c r="E185" s="666"/>
      <c r="F185" s="666"/>
      <c r="G185" s="666"/>
      <c r="H185" s="666"/>
      <c r="I185" s="666"/>
      <c r="J185" s="666"/>
      <c r="K185" s="666"/>
      <c r="L185" s="666"/>
      <c r="M185" s="666"/>
      <c r="N185" s="666"/>
      <c r="O185" s="666"/>
      <c r="P185" s="666"/>
      <c r="Q185" s="666"/>
      <c r="R185" s="666"/>
      <c r="S185" s="666"/>
    </row>
    <row r="186" spans="1:19" ht="15.75">
      <c r="A186" s="666"/>
      <c r="B186" s="666"/>
      <c r="C186" s="666"/>
      <c r="D186" s="666"/>
      <c r="E186" s="666"/>
      <c r="F186" s="666"/>
      <c r="G186" s="666"/>
      <c r="H186" s="666"/>
      <c r="I186" s="666"/>
      <c r="J186" s="666"/>
      <c r="K186" s="666"/>
      <c r="L186" s="666"/>
      <c r="M186" s="666"/>
      <c r="N186" s="666"/>
      <c r="O186" s="666"/>
      <c r="P186" s="666"/>
      <c r="Q186" s="666"/>
      <c r="R186" s="666"/>
      <c r="S186" s="666"/>
    </row>
    <row r="187" spans="1:19" ht="15.75">
      <c r="A187" s="666"/>
      <c r="B187" s="666"/>
      <c r="C187" s="666"/>
      <c r="D187" s="666"/>
      <c r="E187" s="666"/>
      <c r="F187" s="666"/>
      <c r="G187" s="666"/>
      <c r="H187" s="666"/>
      <c r="I187" s="666"/>
      <c r="J187" s="666"/>
      <c r="K187" s="666"/>
      <c r="L187" s="666"/>
      <c r="M187" s="666"/>
      <c r="N187" s="666"/>
      <c r="O187" s="666"/>
      <c r="P187" s="666"/>
      <c r="Q187" s="666"/>
      <c r="R187" s="666"/>
      <c r="S187" s="666"/>
    </row>
    <row r="188" spans="1:19" ht="15.75">
      <c r="A188" s="666"/>
      <c r="B188" s="666"/>
      <c r="C188" s="666"/>
      <c r="D188" s="666"/>
      <c r="E188" s="666"/>
      <c r="F188" s="666"/>
      <c r="G188" s="666"/>
      <c r="H188" s="666"/>
      <c r="I188" s="666"/>
      <c r="J188" s="666"/>
      <c r="K188" s="666"/>
      <c r="L188" s="666"/>
      <c r="M188" s="666"/>
      <c r="N188" s="666"/>
      <c r="O188" s="666"/>
      <c r="P188" s="666"/>
      <c r="Q188" s="666"/>
      <c r="R188" s="666"/>
      <c r="S188" s="666"/>
    </row>
    <row r="189" spans="1:19" ht="15.75">
      <c r="A189" s="666"/>
      <c r="B189" s="666"/>
      <c r="C189" s="666"/>
      <c r="D189" s="666"/>
      <c r="E189" s="666"/>
      <c r="F189" s="666"/>
      <c r="G189" s="666"/>
      <c r="H189" s="666"/>
      <c r="I189" s="666"/>
      <c r="J189" s="666"/>
      <c r="K189" s="666"/>
      <c r="L189" s="666"/>
      <c r="M189" s="666"/>
      <c r="N189" s="666"/>
      <c r="O189" s="666"/>
      <c r="P189" s="666"/>
      <c r="Q189" s="666"/>
      <c r="R189" s="666"/>
      <c r="S189" s="666"/>
    </row>
    <row r="190" spans="1:19" ht="15.75">
      <c r="A190" s="666"/>
      <c r="B190" s="666"/>
      <c r="C190" s="666"/>
      <c r="D190" s="666"/>
      <c r="E190" s="666"/>
      <c r="F190" s="666"/>
      <c r="G190" s="666"/>
      <c r="H190" s="666"/>
      <c r="I190" s="666"/>
      <c r="J190" s="666"/>
      <c r="K190" s="666"/>
      <c r="L190" s="666"/>
      <c r="M190" s="666"/>
      <c r="N190" s="666"/>
      <c r="O190" s="666"/>
      <c r="P190" s="666"/>
      <c r="Q190" s="666"/>
      <c r="R190" s="666"/>
      <c r="S190" s="666"/>
    </row>
    <row r="191" spans="1:19" ht="15.75">
      <c r="A191" s="666"/>
      <c r="B191" s="666"/>
      <c r="C191" s="666"/>
      <c r="D191" s="666"/>
      <c r="E191" s="666"/>
      <c r="F191" s="666"/>
      <c r="G191" s="666"/>
      <c r="H191" s="666"/>
      <c r="I191" s="666"/>
      <c r="J191" s="666"/>
      <c r="K191" s="666"/>
      <c r="L191" s="666"/>
      <c r="M191" s="666"/>
      <c r="N191" s="666"/>
      <c r="O191" s="666"/>
      <c r="P191" s="666"/>
      <c r="Q191" s="666"/>
      <c r="R191" s="666"/>
      <c r="S191" s="666"/>
    </row>
    <row r="192" spans="1:19" ht="15.75">
      <c r="A192" s="666"/>
      <c r="B192" s="666"/>
      <c r="C192" s="666"/>
      <c r="D192" s="666"/>
      <c r="E192" s="666"/>
      <c r="F192" s="666"/>
      <c r="G192" s="666"/>
      <c r="H192" s="666"/>
      <c r="I192" s="666"/>
      <c r="J192" s="666"/>
      <c r="K192" s="666"/>
      <c r="L192" s="666"/>
      <c r="M192" s="666"/>
      <c r="N192" s="666"/>
      <c r="O192" s="666"/>
      <c r="P192" s="666"/>
      <c r="Q192" s="666"/>
      <c r="R192" s="666"/>
      <c r="S192" s="666"/>
    </row>
    <row r="193" spans="1:19" ht="15.75">
      <c r="A193" s="666"/>
      <c r="B193" s="666"/>
      <c r="C193" s="666"/>
      <c r="D193" s="666"/>
      <c r="E193" s="666"/>
      <c r="F193" s="666"/>
      <c r="G193" s="666"/>
      <c r="H193" s="666"/>
      <c r="I193" s="666"/>
      <c r="J193" s="666"/>
      <c r="K193" s="666"/>
      <c r="L193" s="666"/>
      <c r="M193" s="666"/>
      <c r="N193" s="666"/>
      <c r="O193" s="666"/>
      <c r="P193" s="666"/>
      <c r="Q193" s="666"/>
      <c r="R193" s="666"/>
      <c r="S193" s="666"/>
    </row>
    <row r="194" spans="1:19" ht="15.75">
      <c r="A194" s="666"/>
      <c r="B194" s="666"/>
      <c r="C194" s="666"/>
      <c r="D194" s="666"/>
      <c r="E194" s="666"/>
      <c r="F194" s="666"/>
      <c r="G194" s="666"/>
      <c r="H194" s="666"/>
      <c r="I194" s="666"/>
      <c r="J194" s="666"/>
      <c r="K194" s="666"/>
      <c r="L194" s="666"/>
      <c r="M194" s="666"/>
      <c r="N194" s="666"/>
      <c r="O194" s="666"/>
      <c r="P194" s="666"/>
      <c r="Q194" s="666"/>
      <c r="R194" s="666"/>
      <c r="S194" s="666"/>
    </row>
    <row r="195" spans="1:19" ht="15.75">
      <c r="A195" s="666"/>
      <c r="B195" s="666"/>
      <c r="C195" s="666"/>
      <c r="D195" s="666"/>
      <c r="E195" s="666"/>
      <c r="F195" s="666"/>
      <c r="G195" s="666"/>
      <c r="H195" s="666"/>
      <c r="I195" s="666"/>
      <c r="J195" s="666"/>
      <c r="K195" s="666"/>
      <c r="L195" s="666"/>
      <c r="M195" s="666"/>
      <c r="N195" s="666"/>
      <c r="O195" s="666"/>
      <c r="P195" s="666"/>
      <c r="Q195" s="666"/>
      <c r="R195" s="666"/>
      <c r="S195" s="666"/>
    </row>
    <row r="196" spans="1:19" ht="15.75">
      <c r="A196" s="666"/>
      <c r="B196" s="666"/>
      <c r="C196" s="666"/>
      <c r="D196" s="666"/>
      <c r="E196" s="666"/>
      <c r="F196" s="666"/>
      <c r="G196" s="666"/>
      <c r="H196" s="666"/>
      <c r="I196" s="666"/>
      <c r="J196" s="666"/>
      <c r="K196" s="666"/>
      <c r="L196" s="666"/>
      <c r="M196" s="666"/>
      <c r="N196" s="666"/>
      <c r="O196" s="666"/>
      <c r="P196" s="666"/>
      <c r="Q196" s="666"/>
      <c r="R196" s="666"/>
      <c r="S196" s="666"/>
    </row>
    <row r="197" spans="1:19" ht="15.75">
      <c r="A197" s="666"/>
      <c r="B197" s="666"/>
      <c r="C197" s="666"/>
      <c r="D197" s="666"/>
      <c r="E197" s="666"/>
      <c r="F197" s="666"/>
      <c r="G197" s="666"/>
      <c r="H197" s="666"/>
      <c r="I197" s="666"/>
      <c r="J197" s="666"/>
      <c r="K197" s="666"/>
      <c r="L197" s="666"/>
      <c r="M197" s="666"/>
      <c r="N197" s="666"/>
      <c r="O197" s="666"/>
      <c r="P197" s="666"/>
      <c r="Q197" s="666"/>
      <c r="R197" s="666"/>
      <c r="S197" s="666"/>
    </row>
    <row r="198" spans="1:19" ht="15.75">
      <c r="A198" s="666"/>
      <c r="B198" s="666"/>
      <c r="C198" s="666"/>
      <c r="D198" s="666"/>
      <c r="E198" s="666"/>
      <c r="F198" s="666"/>
      <c r="G198" s="666"/>
      <c r="H198" s="666"/>
      <c r="I198" s="666"/>
      <c r="J198" s="666"/>
      <c r="K198" s="666"/>
      <c r="L198" s="666"/>
      <c r="M198" s="666"/>
      <c r="N198" s="666"/>
      <c r="O198" s="666"/>
      <c r="P198" s="666"/>
      <c r="Q198" s="666"/>
      <c r="R198" s="666"/>
      <c r="S198" s="666"/>
    </row>
    <row r="199" spans="1:19" ht="15.75">
      <c r="A199" s="666"/>
      <c r="B199" s="666"/>
      <c r="C199" s="666"/>
      <c r="D199" s="666"/>
      <c r="E199" s="666"/>
      <c r="F199" s="666"/>
      <c r="G199" s="666"/>
      <c r="H199" s="666"/>
      <c r="I199" s="666"/>
      <c r="J199" s="666"/>
      <c r="K199" s="666"/>
      <c r="L199" s="666"/>
      <c r="M199" s="666"/>
      <c r="N199" s="666"/>
      <c r="O199" s="666"/>
      <c r="P199" s="666"/>
      <c r="Q199" s="666"/>
      <c r="R199" s="666"/>
      <c r="S199" s="666"/>
    </row>
    <row r="200" spans="1:19" ht="15.75">
      <c r="A200" s="666"/>
      <c r="B200" s="666"/>
      <c r="C200" s="666"/>
      <c r="D200" s="666"/>
      <c r="E200" s="666"/>
      <c r="F200" s="666"/>
      <c r="G200" s="666"/>
      <c r="H200" s="666"/>
      <c r="I200" s="666"/>
      <c r="J200" s="666"/>
      <c r="K200" s="666"/>
      <c r="L200" s="666"/>
      <c r="M200" s="666"/>
      <c r="N200" s="666"/>
      <c r="O200" s="666"/>
      <c r="P200" s="666"/>
      <c r="Q200" s="666"/>
      <c r="R200" s="666"/>
      <c r="S200" s="666"/>
    </row>
    <row r="201" spans="1:19" ht="15.75">
      <c r="A201" s="666"/>
      <c r="B201" s="666"/>
      <c r="C201" s="666"/>
      <c r="D201" s="666"/>
      <c r="E201" s="666"/>
      <c r="F201" s="666"/>
      <c r="G201" s="666"/>
      <c r="H201" s="666"/>
      <c r="I201" s="666"/>
      <c r="J201" s="666"/>
      <c r="K201" s="666"/>
      <c r="L201" s="666"/>
      <c r="M201" s="666"/>
      <c r="N201" s="666"/>
      <c r="O201" s="666"/>
      <c r="P201" s="666"/>
      <c r="Q201" s="666"/>
      <c r="R201" s="666"/>
      <c r="S201" s="666"/>
    </row>
    <row r="202" spans="1:19" ht="15.75">
      <c r="A202" s="666"/>
      <c r="B202" s="666"/>
      <c r="C202" s="666"/>
      <c r="D202" s="666"/>
      <c r="E202" s="666"/>
      <c r="F202" s="666"/>
      <c r="G202" s="666"/>
      <c r="H202" s="666"/>
      <c r="I202" s="666"/>
      <c r="J202" s="666"/>
      <c r="K202" s="666"/>
      <c r="L202" s="666"/>
      <c r="M202" s="666"/>
      <c r="N202" s="666"/>
      <c r="O202" s="666"/>
      <c r="P202" s="666"/>
      <c r="Q202" s="666"/>
      <c r="R202" s="666"/>
      <c r="S202" s="666"/>
    </row>
    <row r="203" spans="1:19" ht="15.75">
      <c r="A203" s="666"/>
      <c r="B203" s="666"/>
      <c r="C203" s="666"/>
      <c r="D203" s="666"/>
      <c r="E203" s="666"/>
      <c r="F203" s="666"/>
      <c r="G203" s="666"/>
      <c r="H203" s="666"/>
      <c r="I203" s="666"/>
      <c r="J203" s="666"/>
      <c r="K203" s="666"/>
      <c r="L203" s="666"/>
      <c r="M203" s="666"/>
      <c r="N203" s="666"/>
      <c r="O203" s="666"/>
      <c r="P203" s="666"/>
      <c r="Q203" s="666"/>
      <c r="R203" s="666"/>
      <c r="S203" s="666"/>
    </row>
    <row r="204" spans="1:19" ht="15.75">
      <c r="A204" s="666"/>
      <c r="B204" s="666"/>
      <c r="C204" s="666"/>
      <c r="D204" s="666"/>
      <c r="E204" s="666"/>
      <c r="F204" s="666"/>
      <c r="G204" s="666"/>
      <c r="H204" s="666"/>
      <c r="I204" s="666"/>
      <c r="J204" s="666"/>
      <c r="K204" s="666"/>
      <c r="L204" s="666"/>
      <c r="M204" s="666"/>
      <c r="N204" s="666"/>
      <c r="O204" s="666"/>
      <c r="P204" s="666"/>
      <c r="Q204" s="666"/>
      <c r="R204" s="666"/>
      <c r="S204" s="666"/>
    </row>
    <row r="205" spans="1:19" ht="15.75">
      <c r="A205" s="666"/>
      <c r="B205" s="666"/>
      <c r="C205" s="666"/>
      <c r="D205" s="666"/>
      <c r="E205" s="666"/>
      <c r="F205" s="666"/>
      <c r="G205" s="666"/>
      <c r="H205" s="666"/>
      <c r="I205" s="666"/>
      <c r="J205" s="666"/>
      <c r="K205" s="666"/>
      <c r="L205" s="666"/>
      <c r="M205" s="666"/>
      <c r="N205" s="666"/>
      <c r="O205" s="666"/>
      <c r="P205" s="666"/>
      <c r="Q205" s="666"/>
      <c r="R205" s="666"/>
      <c r="S205" s="666"/>
    </row>
    <row r="206" spans="1:19" ht="15.75">
      <c r="A206" s="666"/>
      <c r="B206" s="666"/>
      <c r="C206" s="666"/>
      <c r="D206" s="666"/>
      <c r="E206" s="666"/>
      <c r="F206" s="666"/>
      <c r="G206" s="666"/>
      <c r="H206" s="666"/>
      <c r="I206" s="666"/>
      <c r="J206" s="666"/>
      <c r="K206" s="666"/>
      <c r="L206" s="666"/>
      <c r="M206" s="666"/>
      <c r="N206" s="666"/>
      <c r="O206" s="666"/>
      <c r="P206" s="666"/>
      <c r="Q206" s="666"/>
      <c r="R206" s="666"/>
      <c r="S206" s="666"/>
    </row>
    <row r="207" spans="1:19" ht="15.75">
      <c r="A207" s="666"/>
      <c r="B207" s="666"/>
      <c r="C207" s="666"/>
      <c r="D207" s="666"/>
      <c r="E207" s="666"/>
      <c r="F207" s="666"/>
      <c r="G207" s="666"/>
      <c r="H207" s="666"/>
      <c r="I207" s="666"/>
      <c r="J207" s="666"/>
      <c r="K207" s="666"/>
      <c r="L207" s="666"/>
      <c r="M207" s="666"/>
      <c r="N207" s="666"/>
      <c r="O207" s="666"/>
      <c r="P207" s="666"/>
      <c r="Q207" s="666"/>
      <c r="R207" s="666"/>
      <c r="S207" s="666"/>
    </row>
    <row r="208" spans="1:19" ht="15.75">
      <c r="A208" s="666"/>
      <c r="B208" s="666"/>
      <c r="C208" s="666"/>
      <c r="D208" s="666"/>
      <c r="E208" s="666"/>
      <c r="F208" s="666"/>
      <c r="G208" s="666"/>
      <c r="H208" s="666"/>
      <c r="I208" s="666"/>
      <c r="J208" s="666"/>
      <c r="K208" s="666"/>
      <c r="L208" s="666"/>
      <c r="M208" s="666"/>
      <c r="N208" s="666"/>
      <c r="O208" s="666"/>
      <c r="P208" s="666"/>
      <c r="Q208" s="666"/>
      <c r="R208" s="666"/>
      <c r="S208" s="666"/>
    </row>
    <row r="209" spans="1:19" ht="15.75">
      <c r="A209" s="666"/>
      <c r="B209" s="666"/>
      <c r="C209" s="666"/>
      <c r="D209" s="666"/>
      <c r="E209" s="666"/>
      <c r="F209" s="666"/>
      <c r="G209" s="666"/>
      <c r="H209" s="666"/>
      <c r="I209" s="666"/>
      <c r="J209" s="666"/>
      <c r="K209" s="666"/>
      <c r="L209" s="666"/>
      <c r="M209" s="666"/>
      <c r="N209" s="666"/>
      <c r="O209" s="666"/>
      <c r="P209" s="666"/>
      <c r="Q209" s="666"/>
      <c r="R209" s="666"/>
      <c r="S209" s="666"/>
    </row>
    <row r="210" spans="1:19" ht="15.75">
      <c r="A210" s="666"/>
      <c r="B210" s="666"/>
      <c r="C210" s="666"/>
      <c r="D210" s="666"/>
      <c r="E210" s="666"/>
      <c r="F210" s="666"/>
      <c r="G210" s="666"/>
      <c r="H210" s="666"/>
      <c r="I210" s="666"/>
      <c r="J210" s="666"/>
      <c r="K210" s="666"/>
      <c r="L210" s="666"/>
      <c r="M210" s="666"/>
      <c r="N210" s="666"/>
      <c r="O210" s="666"/>
      <c r="P210" s="666"/>
      <c r="Q210" s="666"/>
      <c r="R210" s="666"/>
      <c r="S210" s="666"/>
    </row>
  </sheetData>
  <mergeCells count="9">
    <mergeCell ref="A5:A6"/>
    <mergeCell ref="D5:E5"/>
    <mergeCell ref="F5:I5"/>
    <mergeCell ref="A2:U2"/>
    <mergeCell ref="R4:U4"/>
    <mergeCell ref="J5:K5"/>
    <mergeCell ref="L5:O5"/>
    <mergeCell ref="P5:Q5"/>
    <mergeCell ref="R5:U5"/>
  </mergeCells>
  <printOptions/>
  <pageMargins left="0.47" right="0.18" top="0.8267716535433072" bottom="0.6692913385826772" header="0.5" footer="0.5118110236220472"/>
  <pageSetup horizontalDpi="600" verticalDpi="600" orientation="landscape" paperSize="9" scale="65" r:id="rId3"/>
  <rowBreaks count="1" manualBreakCount="1">
    <brk id="27" max="255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2:N52"/>
  <sheetViews>
    <sheetView workbookViewId="0" topLeftCell="A2">
      <selection activeCell="F28" sqref="F28"/>
    </sheetView>
  </sheetViews>
  <sheetFormatPr defaultColWidth="9.140625" defaultRowHeight="12.75"/>
  <cols>
    <col min="1" max="1" width="30.8515625" style="287" customWidth="1"/>
    <col min="2" max="3" width="18.28125" style="287" hidden="1" customWidth="1"/>
    <col min="4" max="10" width="12.00390625" style="287" customWidth="1"/>
    <col min="11" max="11" width="21.8515625" style="287" customWidth="1"/>
    <col min="12" max="12" width="10.28125" style="287" customWidth="1"/>
    <col min="13" max="14" width="10.28125" style="321" customWidth="1"/>
    <col min="15" max="16384" width="10.28125" style="287" customWidth="1"/>
  </cols>
  <sheetData>
    <row r="1" ht="21" customHeight="1"/>
    <row r="2" spans="1:11" ht="37.5" customHeight="1">
      <c r="A2" s="1361" t="s">
        <v>715</v>
      </c>
      <c r="B2" s="1361"/>
      <c r="C2" s="1361"/>
      <c r="D2" s="1361"/>
      <c r="E2" s="1361"/>
      <c r="F2" s="1361"/>
      <c r="G2" s="1361"/>
      <c r="H2" s="1361"/>
      <c r="I2" s="1361"/>
      <c r="J2" s="1361"/>
      <c r="K2" s="1361"/>
    </row>
    <row r="3" spans="1:10" ht="21" customHeight="1">
      <c r="A3" s="288"/>
      <c r="B3" s="288"/>
      <c r="C3" s="288"/>
      <c r="D3" s="288"/>
      <c r="E3" s="288"/>
      <c r="F3" s="288"/>
      <c r="G3" s="288"/>
      <c r="H3" s="288"/>
      <c r="I3" s="288"/>
      <c r="J3" s="288"/>
    </row>
    <row r="4" ht="21" customHeight="1" thickBot="1">
      <c r="K4" s="289" t="s">
        <v>673</v>
      </c>
    </row>
    <row r="5" spans="1:11" ht="21" customHeight="1" thickTop="1">
      <c r="A5" s="1367" t="s">
        <v>604</v>
      </c>
      <c r="B5" s="298"/>
      <c r="C5" s="298"/>
      <c r="D5" s="1369" t="s">
        <v>674</v>
      </c>
      <c r="E5" s="1371" t="s">
        <v>675</v>
      </c>
      <c r="F5" s="1372"/>
      <c r="G5" s="1373" t="s">
        <v>676</v>
      </c>
      <c r="H5" s="1371" t="s">
        <v>675</v>
      </c>
      <c r="I5" s="1372"/>
      <c r="J5" s="1375" t="s">
        <v>677</v>
      </c>
      <c r="K5" s="1365" t="s">
        <v>678</v>
      </c>
    </row>
    <row r="6" spans="1:11" ht="42" customHeight="1" thickBot="1">
      <c r="A6" s="1368"/>
      <c r="B6" s="299"/>
      <c r="C6" s="299"/>
      <c r="D6" s="1370"/>
      <c r="E6" s="290" t="s">
        <v>679</v>
      </c>
      <c r="F6" s="290" t="s">
        <v>680</v>
      </c>
      <c r="G6" s="1374"/>
      <c r="H6" s="290" t="s">
        <v>679</v>
      </c>
      <c r="I6" s="290" t="s">
        <v>680</v>
      </c>
      <c r="J6" s="1376"/>
      <c r="K6" s="1366"/>
    </row>
    <row r="7" spans="1:13" ht="21" customHeight="1" thickTop="1">
      <c r="A7" s="300" t="s">
        <v>681</v>
      </c>
      <c r="B7" s="301"/>
      <c r="C7" s="301"/>
      <c r="D7" s="301">
        <f>537+15</f>
        <v>552</v>
      </c>
      <c r="E7" s="301">
        <f>537+15</f>
        <v>552</v>
      </c>
      <c r="F7" s="301"/>
      <c r="G7" s="301">
        <v>5</v>
      </c>
      <c r="H7" s="301">
        <v>5</v>
      </c>
      <c r="I7" s="301"/>
      <c r="J7" s="301"/>
      <c r="K7" s="302">
        <f>H7+J7</f>
        <v>5</v>
      </c>
      <c r="M7" s="321">
        <f>K7/E7*100</f>
        <v>0.9057971014492754</v>
      </c>
    </row>
    <row r="8" spans="1:13" ht="21" customHeight="1">
      <c r="A8" s="303" t="s">
        <v>682</v>
      </c>
      <c r="B8" s="304"/>
      <c r="C8" s="304"/>
      <c r="D8" s="304">
        <f>680+4</f>
        <v>684</v>
      </c>
      <c r="E8" s="304">
        <f>680+4</f>
        <v>684</v>
      </c>
      <c r="F8" s="304"/>
      <c r="G8" s="304">
        <v>22</v>
      </c>
      <c r="H8" s="304">
        <v>22</v>
      </c>
      <c r="I8" s="304"/>
      <c r="J8" s="304"/>
      <c r="K8" s="305">
        <f aca="true" t="shared" si="0" ref="K8:K27">H8+J8</f>
        <v>22</v>
      </c>
      <c r="M8" s="321">
        <f aca="true" t="shared" si="1" ref="M8:M45">K8/E8*100</f>
        <v>3.216374269005848</v>
      </c>
    </row>
    <row r="9" spans="1:13" ht="21" customHeight="1">
      <c r="A9" s="303" t="s">
        <v>684</v>
      </c>
      <c r="B9" s="304"/>
      <c r="C9" s="304"/>
      <c r="D9" s="304">
        <f>615+4</f>
        <v>619</v>
      </c>
      <c r="E9" s="304">
        <f>615+4</f>
        <v>619</v>
      </c>
      <c r="F9" s="304"/>
      <c r="G9" s="304">
        <v>30</v>
      </c>
      <c r="H9" s="304">
        <v>30</v>
      </c>
      <c r="I9" s="304"/>
      <c r="J9" s="304"/>
      <c r="K9" s="305">
        <f t="shared" si="0"/>
        <v>30</v>
      </c>
      <c r="M9" s="321">
        <f t="shared" si="1"/>
        <v>4.846526655896607</v>
      </c>
    </row>
    <row r="10" spans="1:13" ht="21" customHeight="1">
      <c r="A10" s="310" t="s">
        <v>685</v>
      </c>
      <c r="B10" s="311"/>
      <c r="C10" s="311"/>
      <c r="D10" s="311">
        <f>561+21</f>
        <v>582</v>
      </c>
      <c r="E10" s="311">
        <f>561+21</f>
        <v>582</v>
      </c>
      <c r="F10" s="311"/>
      <c r="G10" s="311">
        <v>21</v>
      </c>
      <c r="H10" s="311">
        <v>21</v>
      </c>
      <c r="I10" s="311"/>
      <c r="J10" s="311"/>
      <c r="K10" s="312">
        <f t="shared" si="0"/>
        <v>21</v>
      </c>
      <c r="M10" s="321">
        <f t="shared" si="1"/>
        <v>3.608247422680412</v>
      </c>
    </row>
    <row r="11" spans="1:13" ht="21" customHeight="1" thickBot="1">
      <c r="A11" s="316" t="s">
        <v>686</v>
      </c>
      <c r="B11" s="317"/>
      <c r="C11" s="317"/>
      <c r="D11" s="317">
        <f>SUM(D7:D10)</f>
        <v>2437</v>
      </c>
      <c r="E11" s="317">
        <f>SUM(E7:E10)</f>
        <v>2437</v>
      </c>
      <c r="F11" s="317">
        <f>SUM(F7:F10)</f>
        <v>0</v>
      </c>
      <c r="G11" s="317">
        <f>SUM(G7:G10)</f>
        <v>78</v>
      </c>
      <c r="H11" s="317">
        <f>SUM(H7:H10)</f>
        <v>78</v>
      </c>
      <c r="I11" s="317"/>
      <c r="J11" s="317">
        <f>SUM(J7:J10)</f>
        <v>0</v>
      </c>
      <c r="K11" s="319">
        <f t="shared" si="0"/>
        <v>78</v>
      </c>
      <c r="M11" s="321">
        <f t="shared" si="1"/>
        <v>3.200656544932294</v>
      </c>
    </row>
    <row r="12" spans="1:13" ht="21" customHeight="1" thickTop="1">
      <c r="A12" s="313" t="s">
        <v>687</v>
      </c>
      <c r="B12" s="314">
        <v>313</v>
      </c>
      <c r="C12" s="314">
        <v>409</v>
      </c>
      <c r="D12" s="314">
        <f>SUM(B12:C12)+52</f>
        <v>774</v>
      </c>
      <c r="E12" s="314">
        <v>774</v>
      </c>
      <c r="F12" s="314"/>
      <c r="G12" s="314">
        <v>65</v>
      </c>
      <c r="H12" s="314">
        <v>65</v>
      </c>
      <c r="I12" s="314"/>
      <c r="J12" s="314"/>
      <c r="K12" s="315">
        <f t="shared" si="0"/>
        <v>65</v>
      </c>
      <c r="M12" s="321">
        <f t="shared" si="1"/>
        <v>8.397932816537468</v>
      </c>
    </row>
    <row r="13" spans="1:11" ht="21" customHeight="1">
      <c r="A13" s="303" t="s">
        <v>616</v>
      </c>
      <c r="B13" s="304"/>
      <c r="C13" s="304"/>
      <c r="D13" s="304">
        <f>SUM(B13:C13)</f>
        <v>0</v>
      </c>
      <c r="E13" s="304">
        <v>0</v>
      </c>
      <c r="F13" s="304"/>
      <c r="G13" s="304"/>
      <c r="H13" s="304"/>
      <c r="I13" s="304"/>
      <c r="J13" s="304"/>
      <c r="K13" s="305">
        <f t="shared" si="0"/>
        <v>0</v>
      </c>
    </row>
    <row r="14" spans="1:13" ht="21" customHeight="1">
      <c r="A14" s="303" t="s">
        <v>617</v>
      </c>
      <c r="B14" s="304">
        <v>286</v>
      </c>
      <c r="C14" s="304">
        <v>329</v>
      </c>
      <c r="D14" s="304">
        <f>SUM(B14:C14)+31</f>
        <v>646</v>
      </c>
      <c r="E14" s="304">
        <v>646</v>
      </c>
      <c r="F14" s="304"/>
      <c r="G14" s="304">
        <v>72</v>
      </c>
      <c r="H14" s="304">
        <v>72</v>
      </c>
      <c r="I14" s="304"/>
      <c r="J14" s="304"/>
      <c r="K14" s="305">
        <f t="shared" si="0"/>
        <v>72</v>
      </c>
      <c r="M14" s="321">
        <f t="shared" si="1"/>
        <v>11.145510835913312</v>
      </c>
    </row>
    <row r="15" spans="1:13" ht="21" customHeight="1">
      <c r="A15" s="303" t="s">
        <v>618</v>
      </c>
      <c r="B15" s="304">
        <v>195</v>
      </c>
      <c r="C15" s="304">
        <v>237</v>
      </c>
      <c r="D15" s="304">
        <f>SUM(B15:C15)+25</f>
        <v>457</v>
      </c>
      <c r="E15" s="304">
        <v>457</v>
      </c>
      <c r="F15" s="304"/>
      <c r="G15" s="304">
        <v>16</v>
      </c>
      <c r="H15" s="304">
        <v>16</v>
      </c>
      <c r="I15" s="304"/>
      <c r="J15" s="304"/>
      <c r="K15" s="305">
        <f t="shared" si="0"/>
        <v>16</v>
      </c>
      <c r="M15" s="321">
        <f t="shared" si="1"/>
        <v>3.50109409190372</v>
      </c>
    </row>
    <row r="16" spans="1:13" ht="21" customHeight="1">
      <c r="A16" s="303" t="s">
        <v>619</v>
      </c>
      <c r="B16" s="304">
        <v>241</v>
      </c>
      <c r="C16" s="304">
        <v>247</v>
      </c>
      <c r="D16" s="304">
        <f>SUM(B16:C16)+12</f>
        <v>500</v>
      </c>
      <c r="E16" s="304">
        <v>500</v>
      </c>
      <c r="F16" s="304"/>
      <c r="G16" s="304">
        <v>21</v>
      </c>
      <c r="H16" s="304">
        <v>21</v>
      </c>
      <c r="I16" s="304"/>
      <c r="J16" s="304"/>
      <c r="K16" s="305">
        <f t="shared" si="0"/>
        <v>21</v>
      </c>
      <c r="M16" s="321">
        <f t="shared" si="1"/>
        <v>4.2</v>
      </c>
    </row>
    <row r="17" spans="1:13" ht="21" customHeight="1">
      <c r="A17" s="303" t="s">
        <v>688</v>
      </c>
      <c r="B17" s="304">
        <v>196</v>
      </c>
      <c r="C17" s="304">
        <v>293</v>
      </c>
      <c r="D17" s="304">
        <f>SUM(B17:C17)+39</f>
        <v>528</v>
      </c>
      <c r="E17" s="304">
        <v>528</v>
      </c>
      <c r="F17" s="304"/>
      <c r="G17" s="304">
        <v>24</v>
      </c>
      <c r="H17" s="304">
        <v>24</v>
      </c>
      <c r="I17" s="304"/>
      <c r="J17" s="304"/>
      <c r="K17" s="305">
        <f t="shared" si="0"/>
        <v>24</v>
      </c>
      <c r="M17" s="321">
        <f t="shared" si="1"/>
        <v>4.545454545454546</v>
      </c>
    </row>
    <row r="18" spans="1:13" ht="21" customHeight="1">
      <c r="A18" s="303" t="s">
        <v>621</v>
      </c>
      <c r="B18" s="304">
        <v>116</v>
      </c>
      <c r="C18" s="304">
        <v>110</v>
      </c>
      <c r="D18" s="304">
        <f>SUM(B18:C18)+49</f>
        <v>275</v>
      </c>
      <c r="E18" s="304">
        <v>275</v>
      </c>
      <c r="F18" s="304"/>
      <c r="G18" s="304">
        <v>12</v>
      </c>
      <c r="H18" s="304">
        <v>12</v>
      </c>
      <c r="I18" s="304"/>
      <c r="J18" s="304"/>
      <c r="K18" s="305">
        <f t="shared" si="0"/>
        <v>12</v>
      </c>
      <c r="M18" s="321">
        <f t="shared" si="1"/>
        <v>4.363636363636364</v>
      </c>
    </row>
    <row r="19" spans="1:13" ht="21" customHeight="1">
      <c r="A19" s="303" t="s">
        <v>689</v>
      </c>
      <c r="B19" s="304">
        <v>233</v>
      </c>
      <c r="C19" s="304">
        <v>241</v>
      </c>
      <c r="D19" s="304">
        <f>SUM(B19:C19)+18</f>
        <v>492</v>
      </c>
      <c r="E19" s="304">
        <v>492</v>
      </c>
      <c r="F19" s="304"/>
      <c r="G19" s="304">
        <v>35</v>
      </c>
      <c r="H19" s="304">
        <v>35</v>
      </c>
      <c r="I19" s="304"/>
      <c r="J19" s="304"/>
      <c r="K19" s="305">
        <f t="shared" si="0"/>
        <v>35</v>
      </c>
      <c r="M19" s="321">
        <f t="shared" si="1"/>
        <v>7.113821138211382</v>
      </c>
    </row>
    <row r="20" spans="1:13" ht="21" customHeight="1">
      <c r="A20" s="303" t="s">
        <v>690</v>
      </c>
      <c r="B20" s="304">
        <v>335</v>
      </c>
      <c r="C20" s="304">
        <v>355</v>
      </c>
      <c r="D20" s="304">
        <f>SUM(B20:C20)+39</f>
        <v>729</v>
      </c>
      <c r="E20" s="304">
        <v>729</v>
      </c>
      <c r="F20" s="304"/>
      <c r="G20" s="304">
        <v>39</v>
      </c>
      <c r="H20" s="304">
        <v>39</v>
      </c>
      <c r="I20" s="304"/>
      <c r="J20" s="304"/>
      <c r="K20" s="305">
        <f t="shared" si="0"/>
        <v>39</v>
      </c>
      <c r="M20" s="321">
        <f t="shared" si="1"/>
        <v>5.349794238683128</v>
      </c>
    </row>
    <row r="21" spans="1:13" ht="21" customHeight="1">
      <c r="A21" s="303" t="s">
        <v>691</v>
      </c>
      <c r="B21" s="304"/>
      <c r="C21" s="304"/>
      <c r="D21" s="304">
        <v>251</v>
      </c>
      <c r="E21" s="304">
        <v>251</v>
      </c>
      <c r="F21" s="304"/>
      <c r="G21" s="304">
        <v>72</v>
      </c>
      <c r="H21" s="304">
        <v>72</v>
      </c>
      <c r="I21" s="304"/>
      <c r="J21" s="304"/>
      <c r="K21" s="305">
        <f t="shared" si="0"/>
        <v>72</v>
      </c>
      <c r="M21" s="321">
        <f t="shared" si="1"/>
        <v>28.68525896414343</v>
      </c>
    </row>
    <row r="22" spans="1:13" ht="21" customHeight="1">
      <c r="A22" s="303" t="s">
        <v>692</v>
      </c>
      <c r="B22" s="304">
        <v>131</v>
      </c>
      <c r="C22" s="304">
        <v>214</v>
      </c>
      <c r="D22" s="304">
        <f>SUM(B22:C22)+74</f>
        <v>419</v>
      </c>
      <c r="E22" s="304">
        <v>419</v>
      </c>
      <c r="F22" s="304"/>
      <c r="G22" s="304">
        <v>48</v>
      </c>
      <c r="H22" s="304">
        <v>48</v>
      </c>
      <c r="I22" s="304"/>
      <c r="J22" s="304"/>
      <c r="K22" s="305">
        <f t="shared" si="0"/>
        <v>48</v>
      </c>
      <c r="M22" s="321">
        <f t="shared" si="1"/>
        <v>11.455847255369928</v>
      </c>
    </row>
    <row r="23" spans="1:13" ht="21" customHeight="1">
      <c r="A23" s="303" t="s">
        <v>693</v>
      </c>
      <c r="B23" s="304">
        <v>269</v>
      </c>
      <c r="C23" s="304">
        <v>411</v>
      </c>
      <c r="D23" s="304">
        <f>SUM(B23:C23)+28</f>
        <v>708</v>
      </c>
      <c r="E23" s="304">
        <v>708</v>
      </c>
      <c r="F23" s="304"/>
      <c r="G23" s="304">
        <v>88</v>
      </c>
      <c r="H23" s="304">
        <v>88</v>
      </c>
      <c r="I23" s="304"/>
      <c r="J23" s="304"/>
      <c r="K23" s="305">
        <f t="shared" si="0"/>
        <v>88</v>
      </c>
      <c r="M23" s="321">
        <f t="shared" si="1"/>
        <v>12.429378531073446</v>
      </c>
    </row>
    <row r="24" spans="1:13" ht="21" customHeight="1">
      <c r="A24" s="303" t="s">
        <v>694</v>
      </c>
      <c r="B24" s="304">
        <v>351</v>
      </c>
      <c r="C24" s="304">
        <v>446</v>
      </c>
      <c r="D24" s="304">
        <f>SUM(B24:C24)+118</f>
        <v>915</v>
      </c>
      <c r="E24" s="304">
        <v>915</v>
      </c>
      <c r="F24" s="304"/>
      <c r="G24" s="304">
        <v>37</v>
      </c>
      <c r="H24" s="304">
        <v>37</v>
      </c>
      <c r="I24" s="304"/>
      <c r="J24" s="304"/>
      <c r="K24" s="305">
        <f t="shared" si="0"/>
        <v>37</v>
      </c>
      <c r="M24" s="321">
        <f t="shared" si="1"/>
        <v>4.043715846994536</v>
      </c>
    </row>
    <row r="25" spans="1:13" ht="21" customHeight="1">
      <c r="A25" s="303" t="s">
        <v>695</v>
      </c>
      <c r="B25" s="304">
        <v>47</v>
      </c>
      <c r="C25" s="304">
        <v>90</v>
      </c>
      <c r="D25" s="304">
        <f>SUM(B25:C25)+11</f>
        <v>148</v>
      </c>
      <c r="E25" s="304">
        <v>148</v>
      </c>
      <c r="F25" s="304"/>
      <c r="G25" s="304">
        <v>9</v>
      </c>
      <c r="H25" s="304">
        <v>9</v>
      </c>
      <c r="I25" s="304"/>
      <c r="J25" s="304"/>
      <c r="K25" s="305">
        <f t="shared" si="0"/>
        <v>9</v>
      </c>
      <c r="M25" s="321">
        <f t="shared" si="1"/>
        <v>6.081081081081082</v>
      </c>
    </row>
    <row r="26" spans="1:11" ht="21" customHeight="1">
      <c r="A26" s="303" t="s">
        <v>631</v>
      </c>
      <c r="B26" s="304"/>
      <c r="C26" s="304"/>
      <c r="D26" s="304">
        <f>SUM(B26:C26)</f>
        <v>0</v>
      </c>
      <c r="E26" s="304"/>
      <c r="F26" s="304"/>
      <c r="G26" s="304"/>
      <c r="H26" s="304"/>
      <c r="I26" s="304"/>
      <c r="J26" s="304"/>
      <c r="K26" s="305">
        <f t="shared" si="0"/>
        <v>0</v>
      </c>
    </row>
    <row r="27" spans="1:13" ht="21" customHeight="1" thickBot="1">
      <c r="A27" s="316" t="s">
        <v>696</v>
      </c>
      <c r="B27" s="317"/>
      <c r="C27" s="317"/>
      <c r="D27" s="317">
        <f>SUM(D12:D26)</f>
        <v>6842</v>
      </c>
      <c r="E27" s="317">
        <f>SUM(E12:E26)</f>
        <v>6842</v>
      </c>
      <c r="F27" s="317">
        <f>SUM(F12:F26)</f>
        <v>0</v>
      </c>
      <c r="G27" s="317">
        <f>SUM(G12:G26)</f>
        <v>538</v>
      </c>
      <c r="H27" s="317">
        <f>SUM(H12:H26)</f>
        <v>538</v>
      </c>
      <c r="I27" s="317"/>
      <c r="J27" s="317">
        <f>SUM(J12:J26)</f>
        <v>0</v>
      </c>
      <c r="K27" s="319">
        <f t="shared" si="0"/>
        <v>538</v>
      </c>
      <c r="M27" s="321">
        <f t="shared" si="1"/>
        <v>7.863197895352236</v>
      </c>
    </row>
    <row r="28" spans="1:13" ht="21" customHeight="1" thickTop="1">
      <c r="A28" s="303" t="s">
        <v>632</v>
      </c>
      <c r="B28" s="304"/>
      <c r="C28" s="304"/>
      <c r="D28" s="304">
        <v>562</v>
      </c>
      <c r="E28" s="304">
        <v>562</v>
      </c>
      <c r="F28" s="304"/>
      <c r="G28" s="304">
        <v>142</v>
      </c>
      <c r="H28" s="304">
        <v>142</v>
      </c>
      <c r="I28" s="304">
        <f>SUM('[5]Verseghy'!Q54)</f>
        <v>0</v>
      </c>
      <c r="J28" s="304">
        <v>27</v>
      </c>
      <c r="K28" s="305">
        <f>SUM(H28,J28)</f>
        <v>169</v>
      </c>
      <c r="M28" s="321">
        <f t="shared" si="1"/>
        <v>30.071174377224196</v>
      </c>
    </row>
    <row r="29" spans="1:13" ht="21" customHeight="1">
      <c r="A29" s="303" t="s">
        <v>633</v>
      </c>
      <c r="B29" s="304"/>
      <c r="C29" s="304"/>
      <c r="D29" s="304">
        <v>531</v>
      </c>
      <c r="E29" s="304">
        <v>531</v>
      </c>
      <c r="F29" s="304"/>
      <c r="G29" s="304">
        <v>58</v>
      </c>
      <c r="H29" s="304">
        <v>58</v>
      </c>
      <c r="I29" s="304">
        <f>SUM('[5]Varga K'!Q54)</f>
        <v>0</v>
      </c>
      <c r="J29" s="304">
        <v>175</v>
      </c>
      <c r="K29" s="305">
        <f aca="true" t="shared" si="2" ref="K29:K38">SUM(H29,J29)</f>
        <v>233</v>
      </c>
      <c r="M29" s="321">
        <f t="shared" si="1"/>
        <v>43.87947269303202</v>
      </c>
    </row>
    <row r="30" spans="1:13" ht="21" customHeight="1">
      <c r="A30" s="303" t="s">
        <v>697</v>
      </c>
      <c r="B30" s="304"/>
      <c r="C30" s="304"/>
      <c r="D30" s="304">
        <v>694</v>
      </c>
      <c r="E30" s="304">
        <v>694</v>
      </c>
      <c r="F30" s="304"/>
      <c r="G30" s="304">
        <v>252</v>
      </c>
      <c r="H30" s="304">
        <v>252</v>
      </c>
      <c r="I30" s="304">
        <f>SUM('[5]Tiszaparti'!Q54)</f>
        <v>0</v>
      </c>
      <c r="J30" s="304">
        <v>121</v>
      </c>
      <c r="K30" s="305">
        <f t="shared" si="2"/>
        <v>373</v>
      </c>
      <c r="M30" s="321">
        <f t="shared" si="1"/>
        <v>53.7463976945245</v>
      </c>
    </row>
    <row r="31" spans="1:13" ht="21" customHeight="1">
      <c r="A31" s="303" t="s">
        <v>695</v>
      </c>
      <c r="B31" s="304"/>
      <c r="C31" s="304"/>
      <c r="D31" s="304">
        <f>590+1</f>
        <v>591</v>
      </c>
      <c r="E31" s="304">
        <f>590+1</f>
        <v>591</v>
      </c>
      <c r="F31" s="304"/>
      <c r="G31" s="304">
        <f>204-9</f>
        <v>195</v>
      </c>
      <c r="H31" s="304">
        <f>204-9</f>
        <v>195</v>
      </c>
      <c r="I31" s="304">
        <f>SUM('[5]Széchenyi Gimn'!Q54)</f>
        <v>0</v>
      </c>
      <c r="J31" s="304">
        <v>68</v>
      </c>
      <c r="K31" s="305">
        <f t="shared" si="2"/>
        <v>263</v>
      </c>
      <c r="M31" s="321">
        <f t="shared" si="1"/>
        <v>44.50084602368866</v>
      </c>
    </row>
    <row r="32" spans="1:13" ht="21" customHeight="1">
      <c r="A32" s="303" t="s">
        <v>643</v>
      </c>
      <c r="B32" s="304"/>
      <c r="C32" s="304"/>
      <c r="D32" s="304">
        <v>504</v>
      </c>
      <c r="E32" s="304">
        <v>248</v>
      </c>
      <c r="F32" s="304">
        <v>256</v>
      </c>
      <c r="G32" s="304">
        <v>120</v>
      </c>
      <c r="H32" s="304">
        <f>G32-I32</f>
        <v>18</v>
      </c>
      <c r="I32" s="304">
        <v>102</v>
      </c>
      <c r="J32" s="304">
        <v>43</v>
      </c>
      <c r="K32" s="305">
        <f>SUM(H32,J32)</f>
        <v>61</v>
      </c>
      <c r="M32" s="321">
        <f>K32/E32*100</f>
        <v>24.596774193548388</v>
      </c>
    </row>
    <row r="33" spans="1:13" ht="21" customHeight="1">
      <c r="A33" s="303" t="s">
        <v>698</v>
      </c>
      <c r="B33" s="304"/>
      <c r="C33" s="304"/>
      <c r="D33" s="304">
        <v>766</v>
      </c>
      <c r="E33" s="304">
        <v>766</v>
      </c>
      <c r="F33" s="304"/>
      <c r="G33" s="304">
        <v>351</v>
      </c>
      <c r="H33" s="304">
        <v>351</v>
      </c>
      <c r="I33" s="304"/>
      <c r="J33" s="304">
        <v>86</v>
      </c>
      <c r="K33" s="305">
        <f t="shared" si="2"/>
        <v>437</v>
      </c>
      <c r="M33" s="321">
        <f t="shared" si="1"/>
        <v>57.04960835509139</v>
      </c>
    </row>
    <row r="34" spans="1:13" ht="21" customHeight="1">
      <c r="A34" s="303" t="s">
        <v>699</v>
      </c>
      <c r="B34" s="304"/>
      <c r="C34" s="304"/>
      <c r="D34" s="304">
        <f>SUM(E34:F34)</f>
        <v>1343</v>
      </c>
      <c r="E34" s="304">
        <v>1144</v>
      </c>
      <c r="F34" s="304">
        <v>199</v>
      </c>
      <c r="G34" s="304">
        <v>688</v>
      </c>
      <c r="H34" s="304">
        <f>G34-I34</f>
        <v>605</v>
      </c>
      <c r="I34" s="304">
        <v>83</v>
      </c>
      <c r="J34" s="304">
        <v>87</v>
      </c>
      <c r="K34" s="305">
        <f>SUM(H34,J34)</f>
        <v>692</v>
      </c>
      <c r="M34" s="321">
        <f t="shared" si="1"/>
        <v>60.48951048951049</v>
      </c>
    </row>
    <row r="35" spans="1:13" ht="21" customHeight="1">
      <c r="A35" s="303" t="s">
        <v>700</v>
      </c>
      <c r="B35" s="304"/>
      <c r="C35" s="304"/>
      <c r="D35" s="304">
        <v>594</v>
      </c>
      <c r="E35" s="304">
        <f>508+86</f>
        <v>594</v>
      </c>
      <c r="F35" s="304"/>
      <c r="G35" s="304">
        <v>256</v>
      </c>
      <c r="H35" s="304">
        <v>256</v>
      </c>
      <c r="I35" s="304"/>
      <c r="J35" s="304">
        <v>63</v>
      </c>
      <c r="K35" s="305">
        <f t="shared" si="2"/>
        <v>319</v>
      </c>
      <c r="M35" s="321">
        <f t="shared" si="1"/>
        <v>53.70370370370371</v>
      </c>
    </row>
    <row r="36" spans="1:13" ht="21" customHeight="1">
      <c r="A36" s="303" t="s">
        <v>701</v>
      </c>
      <c r="B36" s="304"/>
      <c r="C36" s="304"/>
      <c r="D36" s="304">
        <f>SUM(E36:F36)</f>
        <v>1356</v>
      </c>
      <c r="E36" s="304">
        <v>1141</v>
      </c>
      <c r="F36" s="304">
        <v>215</v>
      </c>
      <c r="G36" s="304">
        <v>703</v>
      </c>
      <c r="H36" s="304">
        <f>G36-I36</f>
        <v>609</v>
      </c>
      <c r="I36" s="304">
        <v>94</v>
      </c>
      <c r="J36" s="304">
        <v>100</v>
      </c>
      <c r="K36" s="305">
        <f t="shared" si="2"/>
        <v>709</v>
      </c>
      <c r="M36" s="321">
        <f t="shared" si="1"/>
        <v>62.1384750219106</v>
      </c>
    </row>
    <row r="37" spans="1:13" ht="21" customHeight="1">
      <c r="A37" s="303" t="s">
        <v>702</v>
      </c>
      <c r="B37" s="304"/>
      <c r="C37" s="304"/>
      <c r="D37" s="304">
        <f>SUM(E37:F37)</f>
        <v>927</v>
      </c>
      <c r="E37" s="304">
        <v>863</v>
      </c>
      <c r="F37" s="304">
        <v>64</v>
      </c>
      <c r="G37" s="304">
        <v>367</v>
      </c>
      <c r="H37" s="304">
        <f>G37-I37</f>
        <v>349</v>
      </c>
      <c r="I37" s="304">
        <v>18</v>
      </c>
      <c r="J37" s="304">
        <v>86</v>
      </c>
      <c r="K37" s="305">
        <f t="shared" si="2"/>
        <v>435</v>
      </c>
      <c r="M37" s="321">
        <f t="shared" si="1"/>
        <v>50.40556199304751</v>
      </c>
    </row>
    <row r="38" spans="1:13" ht="21" customHeight="1">
      <c r="A38" s="303" t="s">
        <v>703</v>
      </c>
      <c r="B38" s="304"/>
      <c r="C38" s="304"/>
      <c r="D38" s="304">
        <f>SUM(E38:F38)</f>
        <v>709</v>
      </c>
      <c r="E38" s="304">
        <v>709</v>
      </c>
      <c r="F38" s="304"/>
      <c r="G38" s="304">
        <v>361</v>
      </c>
      <c r="H38" s="304">
        <v>361</v>
      </c>
      <c r="I38" s="304">
        <f>SUM('[5]Ruhaipari'!Q54)</f>
        <v>0</v>
      </c>
      <c r="J38" s="304">
        <v>70</v>
      </c>
      <c r="K38" s="305">
        <f t="shared" si="2"/>
        <v>431</v>
      </c>
      <c r="M38" s="321">
        <f t="shared" si="1"/>
        <v>60.78984485190409</v>
      </c>
    </row>
    <row r="39" spans="1:13" ht="21" customHeight="1" thickBot="1">
      <c r="A39" s="316" t="s">
        <v>704</v>
      </c>
      <c r="B39" s="317"/>
      <c r="C39" s="317"/>
      <c r="D39" s="317">
        <f aca="true" t="shared" si="3" ref="D39:J39">SUM(D28:D38)</f>
        <v>8577</v>
      </c>
      <c r="E39" s="317">
        <f t="shared" si="3"/>
        <v>7843</v>
      </c>
      <c r="F39" s="317">
        <f t="shared" si="3"/>
        <v>734</v>
      </c>
      <c r="G39" s="317">
        <f t="shared" si="3"/>
        <v>3493</v>
      </c>
      <c r="H39" s="317">
        <f t="shared" si="3"/>
        <v>3196</v>
      </c>
      <c r="I39" s="317">
        <f t="shared" si="3"/>
        <v>297</v>
      </c>
      <c r="J39" s="317">
        <f t="shared" si="3"/>
        <v>926</v>
      </c>
      <c r="K39" s="319">
        <f>SUM(K28:K38)</f>
        <v>4122</v>
      </c>
      <c r="L39" s="291"/>
      <c r="M39" s="321">
        <f t="shared" si="1"/>
        <v>52.55641973734541</v>
      </c>
    </row>
    <row r="40" spans="1:13" ht="21" customHeight="1" thickBot="1" thickTop="1">
      <c r="A40" s="316" t="s">
        <v>705</v>
      </c>
      <c r="B40" s="317"/>
      <c r="C40" s="317"/>
      <c r="D40" s="317">
        <f aca="true" t="shared" si="4" ref="D40:J40">SUM(D39,D27,D11)</f>
        <v>17856</v>
      </c>
      <c r="E40" s="317">
        <f t="shared" si="4"/>
        <v>17122</v>
      </c>
      <c r="F40" s="317">
        <f t="shared" si="4"/>
        <v>734</v>
      </c>
      <c r="G40" s="317">
        <f t="shared" si="4"/>
        <v>4109</v>
      </c>
      <c r="H40" s="317">
        <f t="shared" si="4"/>
        <v>3812</v>
      </c>
      <c r="I40" s="317">
        <f t="shared" si="4"/>
        <v>297</v>
      </c>
      <c r="J40" s="317">
        <f t="shared" si="4"/>
        <v>926</v>
      </c>
      <c r="K40" s="319">
        <f>K39+K27+K11</f>
        <v>4738</v>
      </c>
      <c r="M40" s="321">
        <f t="shared" si="1"/>
        <v>27.67200093447027</v>
      </c>
    </row>
    <row r="41" spans="1:13" ht="21" customHeight="1" thickTop="1">
      <c r="A41" s="303" t="s">
        <v>706</v>
      </c>
      <c r="B41" s="304"/>
      <c r="C41" s="304"/>
      <c r="D41" s="304">
        <v>155</v>
      </c>
      <c r="E41" s="304">
        <v>155</v>
      </c>
      <c r="F41" s="304"/>
      <c r="G41" s="304">
        <v>54</v>
      </c>
      <c r="H41" s="304">
        <v>54</v>
      </c>
      <c r="I41" s="304"/>
      <c r="J41" s="304"/>
      <c r="K41" s="305">
        <v>54</v>
      </c>
      <c r="M41" s="321">
        <f t="shared" si="1"/>
        <v>34.83870967741935</v>
      </c>
    </row>
    <row r="42" spans="1:11" ht="21" customHeight="1">
      <c r="A42" s="303" t="s">
        <v>648</v>
      </c>
      <c r="B42" s="304"/>
      <c r="C42" s="304"/>
      <c r="D42" s="304"/>
      <c r="E42" s="304"/>
      <c r="F42" s="304"/>
      <c r="G42" s="304">
        <v>0</v>
      </c>
      <c r="H42" s="304">
        <v>0</v>
      </c>
      <c r="I42" s="304"/>
      <c r="J42" s="304"/>
      <c r="K42" s="305"/>
    </row>
    <row r="43" spans="1:11" ht="21" customHeight="1">
      <c r="A43" s="303" t="s">
        <v>707</v>
      </c>
      <c r="B43" s="304"/>
      <c r="C43" s="304"/>
      <c r="D43" s="304">
        <v>45</v>
      </c>
      <c r="E43" s="304"/>
      <c r="F43" s="304"/>
      <c r="G43" s="304">
        <v>3</v>
      </c>
      <c r="H43" s="304"/>
      <c r="I43" s="304"/>
      <c r="J43" s="304"/>
      <c r="K43" s="305"/>
    </row>
    <row r="44" spans="1:13" ht="21" customHeight="1" thickBot="1">
      <c r="A44" s="316" t="s">
        <v>708</v>
      </c>
      <c r="B44" s="317"/>
      <c r="C44" s="317"/>
      <c r="D44" s="317">
        <f aca="true" t="shared" si="5" ref="D44:J44">SUM(D41:D43)</f>
        <v>200</v>
      </c>
      <c r="E44" s="317">
        <f t="shared" si="5"/>
        <v>155</v>
      </c>
      <c r="F44" s="317">
        <f t="shared" si="5"/>
        <v>0</v>
      </c>
      <c r="G44" s="317">
        <f t="shared" si="5"/>
        <v>57</v>
      </c>
      <c r="H44" s="317">
        <f t="shared" si="5"/>
        <v>54</v>
      </c>
      <c r="I44" s="317">
        <f t="shared" si="5"/>
        <v>0</v>
      </c>
      <c r="J44" s="317">
        <f t="shared" si="5"/>
        <v>0</v>
      </c>
      <c r="K44" s="318">
        <v>54</v>
      </c>
      <c r="M44" s="321">
        <f t="shared" si="1"/>
        <v>34.83870967741935</v>
      </c>
    </row>
    <row r="45" spans="1:13" ht="21" customHeight="1" thickBot="1" thickTop="1">
      <c r="A45" s="308" t="s">
        <v>709</v>
      </c>
      <c r="B45" s="309"/>
      <c r="C45" s="309"/>
      <c r="D45" s="309">
        <f aca="true" t="shared" si="6" ref="D45:J45">SUM(D44,D40)</f>
        <v>18056</v>
      </c>
      <c r="E45" s="309">
        <f t="shared" si="6"/>
        <v>17277</v>
      </c>
      <c r="F45" s="309">
        <f t="shared" si="6"/>
        <v>734</v>
      </c>
      <c r="G45" s="309">
        <f t="shared" si="6"/>
        <v>4166</v>
      </c>
      <c r="H45" s="309">
        <f t="shared" si="6"/>
        <v>3866</v>
      </c>
      <c r="I45" s="309">
        <f t="shared" si="6"/>
        <v>297</v>
      </c>
      <c r="J45" s="309">
        <f t="shared" si="6"/>
        <v>926</v>
      </c>
      <c r="K45" s="320">
        <f>K40+K44</f>
        <v>4792</v>
      </c>
      <c r="M45" s="321">
        <f t="shared" si="1"/>
        <v>27.736296810788907</v>
      </c>
    </row>
    <row r="46" ht="21" customHeight="1" thickTop="1"/>
    <row r="47" ht="21" customHeight="1"/>
    <row r="48" spans="1:14" s="295" customFormat="1" ht="21" customHeight="1">
      <c r="A48" s="292" t="s">
        <v>710</v>
      </c>
      <c r="B48" s="293"/>
      <c r="C48" s="293"/>
      <c r="D48" s="293"/>
      <c r="E48" s="293"/>
      <c r="F48" s="293"/>
      <c r="G48" s="293"/>
      <c r="H48" s="294">
        <v>944</v>
      </c>
      <c r="M48" s="322"/>
      <c r="N48" s="322"/>
    </row>
    <row r="49" ht="21" customHeight="1"/>
    <row r="50" spans="1:10" ht="21" customHeight="1">
      <c r="A50" s="291" t="s">
        <v>711</v>
      </c>
      <c r="H50" s="291">
        <v>-18</v>
      </c>
      <c r="J50" s="287">
        <f>H45+J45</f>
        <v>4792</v>
      </c>
    </row>
    <row r="51" spans="7:8" ht="21" customHeight="1">
      <c r="G51" s="296" t="s">
        <v>712</v>
      </c>
      <c r="H51" s="297">
        <f>H48+H50</f>
        <v>926</v>
      </c>
    </row>
    <row r="52" ht="15.75">
      <c r="A52" s="287" t="s">
        <v>713</v>
      </c>
    </row>
  </sheetData>
  <mergeCells count="8">
    <mergeCell ref="K5:K6"/>
    <mergeCell ref="A2:K2"/>
    <mergeCell ref="A5:A6"/>
    <mergeCell ref="D5:D6"/>
    <mergeCell ref="E5:F5"/>
    <mergeCell ref="G5:G6"/>
    <mergeCell ref="H5:I5"/>
    <mergeCell ref="J5:J6"/>
  </mergeCells>
  <printOptions/>
  <pageMargins left="0.75" right="0.25" top="0.81" bottom="0.68" header="0.5" footer="0.5"/>
  <pageSetup horizontalDpi="600" verticalDpi="600" orientation="portrait" paperSize="9" scale="64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56"/>
  <sheetViews>
    <sheetView zoomScale="75" zoomScaleNormal="75" workbookViewId="0" topLeftCell="A6">
      <selection activeCell="F28" sqref="F28"/>
    </sheetView>
  </sheetViews>
  <sheetFormatPr defaultColWidth="9.140625" defaultRowHeight="12.75"/>
  <cols>
    <col min="1" max="1" width="30.8515625" style="287" customWidth="1"/>
    <col min="2" max="2" width="15.28125" style="287" customWidth="1"/>
    <col min="3" max="4" width="14.00390625" style="287" customWidth="1"/>
    <col min="5" max="7" width="13.140625" style="287" customWidth="1"/>
    <col min="8" max="8" width="23.00390625" style="287" customWidth="1"/>
    <col min="9" max="9" width="21.8515625" style="287" customWidth="1"/>
    <col min="10" max="11" width="10.28125" style="287" customWidth="1"/>
    <col min="12" max="12" width="10.28125" style="321" customWidth="1"/>
    <col min="13" max="16384" width="10.28125" style="287" customWidth="1"/>
  </cols>
  <sheetData>
    <row r="1" ht="21" customHeight="1"/>
    <row r="2" spans="1:8" ht="37.5" customHeight="1">
      <c r="A2" s="1377" t="s">
        <v>672</v>
      </c>
      <c r="B2" s="1377"/>
      <c r="C2" s="1377"/>
      <c r="D2" s="1377"/>
      <c r="E2" s="1377"/>
      <c r="F2" s="1377"/>
      <c r="G2" s="1377"/>
      <c r="H2" s="1377"/>
    </row>
    <row r="3" spans="1:8" ht="21" customHeight="1">
      <c r="A3" s="288"/>
      <c r="B3" s="288"/>
      <c r="C3" s="288"/>
      <c r="D3" s="288"/>
      <c r="E3" s="288"/>
      <c r="F3" s="288"/>
      <c r="G3" s="288"/>
      <c r="H3" s="288"/>
    </row>
    <row r="4" ht="21" customHeight="1" thickBot="1">
      <c r="H4" s="289" t="s">
        <v>673</v>
      </c>
    </row>
    <row r="5" spans="1:9" ht="21" customHeight="1" thickTop="1">
      <c r="A5" s="1367" t="s">
        <v>604</v>
      </c>
      <c r="B5" s="1378" t="s">
        <v>674</v>
      </c>
      <c r="C5" s="1380" t="s">
        <v>675</v>
      </c>
      <c r="D5" s="1381"/>
      <c r="E5" s="1373" t="s">
        <v>676</v>
      </c>
      <c r="F5" s="1380" t="s">
        <v>675</v>
      </c>
      <c r="G5" s="1381"/>
      <c r="H5" s="1375" t="s">
        <v>677</v>
      </c>
      <c r="I5" s="1365" t="s">
        <v>678</v>
      </c>
    </row>
    <row r="6" spans="1:9" ht="42" customHeight="1" thickBot="1">
      <c r="A6" s="1368"/>
      <c r="B6" s="1379"/>
      <c r="C6" s="290" t="s">
        <v>679</v>
      </c>
      <c r="D6" s="290" t="s">
        <v>680</v>
      </c>
      <c r="E6" s="1374"/>
      <c r="F6" s="290" t="s">
        <v>679</v>
      </c>
      <c r="G6" s="290" t="s">
        <v>680</v>
      </c>
      <c r="H6" s="1376"/>
      <c r="I6" s="1366"/>
    </row>
    <row r="7" spans="1:11" ht="21" customHeight="1" thickTop="1">
      <c r="A7" s="300" t="s">
        <v>681</v>
      </c>
      <c r="B7" s="301">
        <f>SUM('[4]I.sz. Óvoda'!D52)</f>
        <v>523</v>
      </c>
      <c r="C7" s="323">
        <f>B7-D7</f>
        <v>523</v>
      </c>
      <c r="D7" s="301"/>
      <c r="E7" s="301">
        <f>SUM('[4]I.sz. Óvoda'!Q52)</f>
        <v>2</v>
      </c>
      <c r="F7" s="301">
        <f>E7-G7</f>
        <v>2</v>
      </c>
      <c r="G7" s="301"/>
      <c r="H7" s="301"/>
      <c r="I7" s="302">
        <f>E7+H7</f>
        <v>2</v>
      </c>
      <c r="K7" s="321">
        <f>I7/C7*100</f>
        <v>0.3824091778202677</v>
      </c>
    </row>
    <row r="8" spans="1:11" ht="21" customHeight="1">
      <c r="A8" s="303" t="s">
        <v>682</v>
      </c>
      <c r="B8" s="304">
        <f>SUM('[4]II. Óvoda'!D52)</f>
        <v>659</v>
      </c>
      <c r="C8" s="304">
        <f>B8-D8</f>
        <v>659</v>
      </c>
      <c r="D8" s="304"/>
      <c r="E8" s="304">
        <f>SUM('[4]II. Óvoda'!Q52)</f>
        <v>21</v>
      </c>
      <c r="F8" s="304">
        <f>E8-G8</f>
        <v>21</v>
      </c>
      <c r="G8" s="304"/>
      <c r="H8" s="304"/>
      <c r="I8" s="305">
        <f aca="true" t="shared" si="0" ref="I8:I44">E8+H8</f>
        <v>21</v>
      </c>
      <c r="K8" s="321">
        <f aca="true" t="shared" si="1" ref="K8:K44">I8/C8*100</f>
        <v>3.1866464339908953</v>
      </c>
    </row>
    <row r="9" spans="1:11" ht="21" customHeight="1">
      <c r="A9" s="303" t="s">
        <v>684</v>
      </c>
      <c r="B9" s="304">
        <f>SUM('[4]III.Óvoda'!D52)</f>
        <v>621</v>
      </c>
      <c r="C9" s="304">
        <f>B9-D9</f>
        <v>621</v>
      </c>
      <c r="D9" s="304"/>
      <c r="E9" s="304">
        <f>SUM('[4]III.Óvoda'!Q52)</f>
        <v>27</v>
      </c>
      <c r="F9" s="304">
        <f>E9-G9</f>
        <v>27</v>
      </c>
      <c r="G9" s="304"/>
      <c r="H9" s="304"/>
      <c r="I9" s="305">
        <f t="shared" si="0"/>
        <v>27</v>
      </c>
      <c r="K9" s="321">
        <f t="shared" si="1"/>
        <v>4.3478260869565215</v>
      </c>
    </row>
    <row r="10" spans="1:11" ht="21" customHeight="1">
      <c r="A10" s="303" t="s">
        <v>685</v>
      </c>
      <c r="B10" s="304">
        <f>SUM('[4]IV.Óvoda'!D52)</f>
        <v>591</v>
      </c>
      <c r="C10" s="304">
        <f>B10-D10</f>
        <v>591</v>
      </c>
      <c r="D10" s="304"/>
      <c r="E10" s="304">
        <f>SUM('[4]IV.Óvoda'!Q52)</f>
        <v>12</v>
      </c>
      <c r="F10" s="304">
        <f>E10-G10</f>
        <v>12</v>
      </c>
      <c r="G10" s="304"/>
      <c r="H10" s="304"/>
      <c r="I10" s="305">
        <f t="shared" si="0"/>
        <v>12</v>
      </c>
      <c r="K10" s="321">
        <f t="shared" si="1"/>
        <v>2.030456852791878</v>
      </c>
    </row>
    <row r="11" spans="1:11" ht="21" customHeight="1">
      <c r="A11" s="306" t="s">
        <v>686</v>
      </c>
      <c r="B11" s="307">
        <f>SUM(B7:B10)</f>
        <v>2394</v>
      </c>
      <c r="C11" s="307">
        <f>SUM(C7:C10)</f>
        <v>2394</v>
      </c>
      <c r="D11" s="307">
        <f>SUM(D7:D10)</f>
        <v>0</v>
      </c>
      <c r="E11" s="307">
        <f>SUM(E7:E10)</f>
        <v>62</v>
      </c>
      <c r="F11" s="307">
        <f>SUM(F7:F10)</f>
        <v>62</v>
      </c>
      <c r="G11" s="307"/>
      <c r="H11" s="307">
        <f>SUM(H7:H10)</f>
        <v>0</v>
      </c>
      <c r="I11" s="305">
        <f t="shared" si="0"/>
        <v>62</v>
      </c>
      <c r="K11" s="321">
        <f t="shared" si="1"/>
        <v>2.5898078529657473</v>
      </c>
    </row>
    <row r="12" spans="1:11" ht="21" customHeight="1">
      <c r="A12" s="303" t="s">
        <v>687</v>
      </c>
      <c r="B12" s="304">
        <f>SUM('[4]Kodály'!D52)</f>
        <v>723</v>
      </c>
      <c r="C12" s="304">
        <f aca="true" t="shared" si="2" ref="C12:C26">B12-D12</f>
        <v>723</v>
      </c>
      <c r="D12" s="304"/>
      <c r="E12" s="304">
        <f>SUM('[4]Kodály'!Q52)</f>
        <v>66</v>
      </c>
      <c r="F12" s="304">
        <f aca="true" t="shared" si="3" ref="F12:F26">E12-G12</f>
        <v>66</v>
      </c>
      <c r="G12" s="304"/>
      <c r="H12" s="304"/>
      <c r="I12" s="305">
        <f t="shared" si="0"/>
        <v>66</v>
      </c>
      <c r="K12" s="321">
        <f t="shared" si="1"/>
        <v>9.12863070539419</v>
      </c>
    </row>
    <row r="13" spans="1:11" ht="21" customHeight="1">
      <c r="A13" s="303" t="s">
        <v>616</v>
      </c>
      <c r="B13" s="304">
        <f>SUM('[4]Bartók'!D52)</f>
        <v>0</v>
      </c>
      <c r="C13" s="304">
        <f t="shared" si="2"/>
        <v>0</v>
      </c>
      <c r="D13" s="304"/>
      <c r="E13" s="304">
        <f>SUM('[4]Bartók'!Q52)</f>
        <v>0</v>
      </c>
      <c r="F13" s="304">
        <f t="shared" si="3"/>
        <v>0</v>
      </c>
      <c r="G13" s="304"/>
      <c r="H13" s="304"/>
      <c r="I13" s="305">
        <f t="shared" si="0"/>
        <v>0</v>
      </c>
      <c r="K13" s="321"/>
    </row>
    <row r="14" spans="1:11" ht="21" customHeight="1">
      <c r="A14" s="303" t="s">
        <v>617</v>
      </c>
      <c r="B14" s="304">
        <f>SUM('[4]Fiumei'!D52)</f>
        <v>631</v>
      </c>
      <c r="C14" s="304">
        <f t="shared" si="2"/>
        <v>631</v>
      </c>
      <c r="D14" s="304"/>
      <c r="E14" s="304">
        <f>SUM('[4]Fiumei'!Q52)</f>
        <v>63</v>
      </c>
      <c r="F14" s="304">
        <f t="shared" si="3"/>
        <v>63</v>
      </c>
      <c r="G14" s="304"/>
      <c r="H14" s="304"/>
      <c r="I14" s="305">
        <f t="shared" si="0"/>
        <v>63</v>
      </c>
      <c r="K14" s="321">
        <f t="shared" si="1"/>
        <v>9.984152139461171</v>
      </c>
    </row>
    <row r="15" spans="1:11" ht="21" customHeight="1">
      <c r="A15" s="303" t="s">
        <v>618</v>
      </c>
      <c r="B15" s="304">
        <f>SUM('[4]Belvárosi'!D52)</f>
        <v>435</v>
      </c>
      <c r="C15" s="304">
        <f t="shared" si="2"/>
        <v>435</v>
      </c>
      <c r="D15" s="304"/>
      <c r="E15" s="304">
        <f>SUM('[4]Belvárosi'!Q52)</f>
        <v>12</v>
      </c>
      <c r="F15" s="304">
        <f t="shared" si="3"/>
        <v>12</v>
      </c>
      <c r="G15" s="304"/>
      <c r="H15" s="304"/>
      <c r="I15" s="305">
        <f t="shared" si="0"/>
        <v>12</v>
      </c>
      <c r="K15" s="321">
        <f t="shared" si="1"/>
        <v>2.7586206896551726</v>
      </c>
    </row>
    <row r="16" spans="1:11" ht="21" customHeight="1">
      <c r="A16" s="303" t="s">
        <v>619</v>
      </c>
      <c r="B16" s="304">
        <f>SUM('[4]Kassai'!D52)</f>
        <v>501</v>
      </c>
      <c r="C16" s="304">
        <f t="shared" si="2"/>
        <v>501</v>
      </c>
      <c r="D16" s="304"/>
      <c r="E16" s="304">
        <f>SUM('[4]Kassai'!Q52)</f>
        <v>25</v>
      </c>
      <c r="F16" s="304">
        <f t="shared" si="3"/>
        <v>25</v>
      </c>
      <c r="G16" s="304"/>
      <c r="H16" s="304"/>
      <c r="I16" s="305">
        <f t="shared" si="0"/>
        <v>25</v>
      </c>
      <c r="K16" s="321">
        <f t="shared" si="1"/>
        <v>4.990019960079841</v>
      </c>
    </row>
    <row r="17" spans="1:11" ht="21" customHeight="1">
      <c r="A17" s="303" t="s">
        <v>688</v>
      </c>
      <c r="B17" s="304">
        <f>SUM('[4]Széchneyi krt-i'!D52)</f>
        <v>509</v>
      </c>
      <c r="C17" s="304">
        <f t="shared" si="2"/>
        <v>509</v>
      </c>
      <c r="D17" s="304"/>
      <c r="E17" s="304">
        <f>SUM('[4]Széchneyi krt-i'!Q52)</f>
        <v>22</v>
      </c>
      <c r="F17" s="304">
        <f t="shared" si="3"/>
        <v>22</v>
      </c>
      <c r="G17" s="304"/>
      <c r="H17" s="304"/>
      <c r="I17" s="305">
        <f t="shared" si="0"/>
        <v>22</v>
      </c>
      <c r="K17" s="321">
        <f t="shared" si="1"/>
        <v>4.322200392927308</v>
      </c>
    </row>
    <row r="18" spans="1:11" ht="21" customHeight="1">
      <c r="A18" s="303" t="s">
        <v>621</v>
      </c>
      <c r="B18" s="304">
        <f>SUM('[4]Újvárosi'!D52)</f>
        <v>255</v>
      </c>
      <c r="C18" s="304">
        <f t="shared" si="2"/>
        <v>255</v>
      </c>
      <c r="D18" s="304"/>
      <c r="E18" s="304">
        <f>SUM('[4]Újvárosi'!Q52)</f>
        <v>10</v>
      </c>
      <c r="F18" s="304">
        <f t="shared" si="3"/>
        <v>10</v>
      </c>
      <c r="G18" s="304"/>
      <c r="H18" s="304"/>
      <c r="I18" s="305">
        <f t="shared" si="0"/>
        <v>10</v>
      </c>
      <c r="K18" s="321">
        <f t="shared" si="1"/>
        <v>3.9215686274509802</v>
      </c>
    </row>
    <row r="19" spans="1:11" ht="21" customHeight="1">
      <c r="A19" s="303" t="s">
        <v>689</v>
      </c>
      <c r="B19" s="304">
        <f>SUM('[4]II.Rákóczi'!D52)</f>
        <v>486</v>
      </c>
      <c r="C19" s="304">
        <f t="shared" si="2"/>
        <v>486</v>
      </c>
      <c r="D19" s="304"/>
      <c r="E19" s="304">
        <f>SUM('[4]II.Rákóczi'!Q52)</f>
        <v>31</v>
      </c>
      <c r="F19" s="304">
        <f t="shared" si="3"/>
        <v>31</v>
      </c>
      <c r="G19" s="304"/>
      <c r="H19" s="304"/>
      <c r="I19" s="305">
        <f t="shared" si="0"/>
        <v>31</v>
      </c>
      <c r="K19" s="321">
        <f t="shared" si="1"/>
        <v>6.378600823045268</v>
      </c>
    </row>
    <row r="20" spans="1:11" ht="21" customHeight="1">
      <c r="A20" s="303" t="s">
        <v>690</v>
      </c>
      <c r="B20" s="304">
        <f>SUM('[4]Szanda'!D52)</f>
        <v>725</v>
      </c>
      <c r="C20" s="304">
        <f t="shared" si="2"/>
        <v>725</v>
      </c>
      <c r="D20" s="304"/>
      <c r="E20" s="304">
        <f>SUM('[4]Szanda'!Q52)</f>
        <v>41</v>
      </c>
      <c r="F20" s="304">
        <f t="shared" si="3"/>
        <v>41</v>
      </c>
      <c r="G20" s="304"/>
      <c r="H20" s="304"/>
      <c r="I20" s="305">
        <f t="shared" si="0"/>
        <v>41</v>
      </c>
      <c r="K20" s="321">
        <f t="shared" si="1"/>
        <v>5.655172413793103</v>
      </c>
    </row>
    <row r="21" spans="1:11" ht="21" customHeight="1">
      <c r="A21" s="303" t="s">
        <v>691</v>
      </c>
      <c r="B21" s="304">
        <f>SUM('[4]Liget'!D52)</f>
        <v>227</v>
      </c>
      <c r="C21" s="304">
        <f t="shared" si="2"/>
        <v>227</v>
      </c>
      <c r="D21" s="304"/>
      <c r="E21" s="304">
        <f>SUM('[4]Liget'!Q52)</f>
        <v>68</v>
      </c>
      <c r="F21" s="304">
        <f t="shared" si="3"/>
        <v>68</v>
      </c>
      <c r="G21" s="304"/>
      <c r="H21" s="304"/>
      <c r="I21" s="305">
        <f t="shared" si="0"/>
        <v>68</v>
      </c>
      <c r="K21" s="321">
        <f t="shared" si="1"/>
        <v>29.955947136563875</v>
      </c>
    </row>
    <row r="22" spans="1:11" ht="21" customHeight="1">
      <c r="A22" s="303" t="s">
        <v>692</v>
      </c>
      <c r="B22" s="304">
        <f>SUM('[4]Mátyás'!D52)</f>
        <v>383</v>
      </c>
      <c r="C22" s="304">
        <f t="shared" si="2"/>
        <v>383</v>
      </c>
      <c r="D22" s="304"/>
      <c r="E22" s="304">
        <f>SUM('[4]Mátyás'!Q52)</f>
        <v>47</v>
      </c>
      <c r="F22" s="304">
        <f t="shared" si="3"/>
        <v>47</v>
      </c>
      <c r="G22" s="304"/>
      <c r="H22" s="304"/>
      <c r="I22" s="305">
        <f t="shared" si="0"/>
        <v>47</v>
      </c>
      <c r="K22" s="321">
        <f t="shared" si="1"/>
        <v>12.27154046997389</v>
      </c>
    </row>
    <row r="23" spans="1:11" ht="21" customHeight="1">
      <c r="A23" s="303" t="s">
        <v>693</v>
      </c>
      <c r="B23" s="304">
        <f>SUM('[4]Kőrösi'!D52)</f>
        <v>670</v>
      </c>
      <c r="C23" s="304">
        <f t="shared" si="2"/>
        <v>670</v>
      </c>
      <c r="D23" s="304"/>
      <c r="E23" s="304">
        <f>SUM('[4]Kőrösi'!Q52)</f>
        <v>87</v>
      </c>
      <c r="F23" s="304">
        <f t="shared" si="3"/>
        <v>87</v>
      </c>
      <c r="G23" s="304"/>
      <c r="H23" s="304"/>
      <c r="I23" s="305">
        <f t="shared" si="0"/>
        <v>87</v>
      </c>
      <c r="K23" s="321">
        <f t="shared" si="1"/>
        <v>12.985074626865673</v>
      </c>
    </row>
    <row r="24" spans="1:11" ht="21" customHeight="1">
      <c r="A24" s="303" t="s">
        <v>694</v>
      </c>
      <c r="B24" s="304">
        <f>SUM('[4]Szentgyörgyi'!D52)</f>
        <v>893</v>
      </c>
      <c r="C24" s="304">
        <f t="shared" si="2"/>
        <v>893</v>
      </c>
      <c r="D24" s="304"/>
      <c r="E24" s="304">
        <f>SUM('[4]Szentgyörgyi'!Q52)</f>
        <v>38</v>
      </c>
      <c r="F24" s="304">
        <f t="shared" si="3"/>
        <v>38</v>
      </c>
      <c r="G24" s="304"/>
      <c r="H24" s="304"/>
      <c r="I24" s="305">
        <f t="shared" si="0"/>
        <v>38</v>
      </c>
      <c r="K24" s="321">
        <f t="shared" si="1"/>
        <v>4.25531914893617</v>
      </c>
    </row>
    <row r="25" spans="1:11" ht="21" customHeight="1">
      <c r="A25" s="303" t="s">
        <v>695</v>
      </c>
      <c r="B25" s="304">
        <f>SUM('[4]Széchenyi Gimn'!D14:D21)</f>
        <v>121</v>
      </c>
      <c r="C25" s="304">
        <f t="shared" si="2"/>
        <v>121</v>
      </c>
      <c r="D25" s="304"/>
      <c r="E25" s="304">
        <f>SUM('[4]Széchenyi Gimn'!Q17:Q21)</f>
        <v>7</v>
      </c>
      <c r="F25" s="304">
        <f t="shared" si="3"/>
        <v>7</v>
      </c>
      <c r="G25" s="304"/>
      <c r="H25" s="304"/>
      <c r="I25" s="305">
        <f t="shared" si="0"/>
        <v>7</v>
      </c>
      <c r="K25" s="321">
        <f t="shared" si="1"/>
        <v>5.785123966942149</v>
      </c>
    </row>
    <row r="26" spans="1:11" ht="21" customHeight="1">
      <c r="A26" s="303" t="s">
        <v>631</v>
      </c>
      <c r="B26" s="304"/>
      <c r="C26" s="304">
        <f t="shared" si="2"/>
        <v>0</v>
      </c>
      <c r="D26" s="304"/>
      <c r="E26" s="304"/>
      <c r="F26" s="304">
        <f t="shared" si="3"/>
        <v>0</v>
      </c>
      <c r="G26" s="304"/>
      <c r="H26" s="304"/>
      <c r="I26" s="305">
        <f t="shared" si="0"/>
        <v>0</v>
      </c>
      <c r="K26" s="321"/>
    </row>
    <row r="27" spans="1:11" ht="21" customHeight="1">
      <c r="A27" s="306" t="s">
        <v>696</v>
      </c>
      <c r="B27" s="307">
        <f>SUM(B12:B26)</f>
        <v>6559</v>
      </c>
      <c r="C27" s="307">
        <f>SUM(C12:C26)</f>
        <v>6559</v>
      </c>
      <c r="D27" s="307">
        <f>SUM(D12:D26)</f>
        <v>0</v>
      </c>
      <c r="E27" s="307">
        <f>SUM(E12:E26)</f>
        <v>517</v>
      </c>
      <c r="F27" s="307">
        <f>SUM(F12:F26)</f>
        <v>517</v>
      </c>
      <c r="G27" s="307"/>
      <c r="H27" s="307">
        <f>SUM(H12:H26)</f>
        <v>0</v>
      </c>
      <c r="I27" s="305">
        <f t="shared" si="0"/>
        <v>517</v>
      </c>
      <c r="K27" s="321">
        <f t="shared" si="1"/>
        <v>7.882299130965086</v>
      </c>
    </row>
    <row r="28" spans="1:11" ht="21" customHeight="1">
      <c r="A28" s="303" t="s">
        <v>632</v>
      </c>
      <c r="B28" s="304">
        <f>SUM('[4]Verseghy'!D52)</f>
        <v>555</v>
      </c>
      <c r="C28" s="304">
        <f aca="true" t="shared" si="4" ref="C28:C38">B28-D28</f>
        <v>555</v>
      </c>
      <c r="D28" s="304">
        <f>SUM('[4]Verseghy'!D54)</f>
        <v>0</v>
      </c>
      <c r="E28" s="304">
        <f>SUM('[4]Verseghy'!Q52)</f>
        <v>119</v>
      </c>
      <c r="F28" s="304">
        <f aca="true" t="shared" si="5" ref="F28:F38">E28-G28</f>
        <v>119</v>
      </c>
      <c r="G28" s="304">
        <f>SUM('[4]Verseghy'!Q54)</f>
        <v>0</v>
      </c>
      <c r="H28" s="304">
        <v>30</v>
      </c>
      <c r="I28" s="305">
        <f>E28+H28</f>
        <v>149</v>
      </c>
      <c r="K28" s="321">
        <f>I28/C28*100</f>
        <v>26.846846846846844</v>
      </c>
    </row>
    <row r="29" spans="1:11" ht="21" customHeight="1">
      <c r="A29" s="303" t="s">
        <v>633</v>
      </c>
      <c r="B29" s="304">
        <f>SUM('[4]Varga K'!D52)</f>
        <v>392</v>
      </c>
      <c r="C29" s="304">
        <f t="shared" si="4"/>
        <v>392</v>
      </c>
      <c r="D29" s="304">
        <f>SUM('[4]Varga K'!D54)</f>
        <v>0</v>
      </c>
      <c r="E29" s="304">
        <f>SUM('[4]Varga K'!Q52)</f>
        <v>63</v>
      </c>
      <c r="F29" s="304">
        <f t="shared" si="5"/>
        <v>63</v>
      </c>
      <c r="G29" s="304">
        <f>SUM('[4]Varga K'!Q54)</f>
        <v>0</v>
      </c>
      <c r="H29" s="304">
        <v>178</v>
      </c>
      <c r="I29" s="305">
        <f t="shared" si="0"/>
        <v>241</v>
      </c>
      <c r="K29" s="321">
        <f t="shared" si="1"/>
        <v>61.47959183673469</v>
      </c>
    </row>
    <row r="30" spans="1:11" ht="21" customHeight="1">
      <c r="A30" s="303" t="s">
        <v>697</v>
      </c>
      <c r="B30" s="304">
        <f>SUM('[4]Tiszaparti'!D52)</f>
        <v>681</v>
      </c>
      <c r="C30" s="304">
        <f t="shared" si="4"/>
        <v>681</v>
      </c>
      <c r="D30" s="304">
        <f>SUM('[4]Tiszaparti'!D54)</f>
        <v>0</v>
      </c>
      <c r="E30" s="304">
        <f>SUM('[4]Tiszaparti'!Q52)</f>
        <v>255</v>
      </c>
      <c r="F30" s="304">
        <f t="shared" si="5"/>
        <v>255</v>
      </c>
      <c r="G30" s="304">
        <f>SUM('[4]Tiszaparti'!Q54)</f>
        <v>0</v>
      </c>
      <c r="H30" s="304">
        <v>103</v>
      </c>
      <c r="I30" s="305">
        <f t="shared" si="0"/>
        <v>358</v>
      </c>
      <c r="K30" s="321">
        <f t="shared" si="1"/>
        <v>52.56975036710719</v>
      </c>
    </row>
    <row r="31" spans="1:11" ht="21" customHeight="1">
      <c r="A31" s="303" t="s">
        <v>695</v>
      </c>
      <c r="B31" s="304">
        <f>SUM('[4]Széchenyi Gimn'!D22,'[4]Széchenyi Gimn'!D25,'[4]Széchenyi Gimn'!D28,'[4]Széchenyi Gimn'!D31)</f>
        <v>644</v>
      </c>
      <c r="C31" s="304">
        <f t="shared" si="4"/>
        <v>644</v>
      </c>
      <c r="D31" s="304">
        <f>SUM('[4]Széchenyi Gimn'!D54)</f>
        <v>0</v>
      </c>
      <c r="E31" s="304">
        <f>SUM('[4]Széchenyi Gimn'!Q22:Q31)</f>
        <v>221</v>
      </c>
      <c r="F31" s="304">
        <f t="shared" si="5"/>
        <v>221</v>
      </c>
      <c r="G31" s="304">
        <f>SUM('[4]Széchenyi Gimn'!Q54)</f>
        <v>0</v>
      </c>
      <c r="H31" s="304">
        <v>80</v>
      </c>
      <c r="I31" s="305">
        <f t="shared" si="0"/>
        <v>301</v>
      </c>
      <c r="K31" s="321">
        <f t="shared" si="1"/>
        <v>46.73913043478261</v>
      </c>
    </row>
    <row r="32" spans="1:13" ht="21" customHeight="1">
      <c r="A32" s="303" t="s">
        <v>643</v>
      </c>
      <c r="B32" s="304">
        <f>SUM('[4]Eügyi'!D52)</f>
        <v>540</v>
      </c>
      <c r="C32" s="304">
        <f t="shared" si="4"/>
        <v>272</v>
      </c>
      <c r="D32" s="304">
        <f>SUM('[4]Eügyi'!D54)</f>
        <v>268</v>
      </c>
      <c r="E32" s="304">
        <f>SUM('[4]Eügyi'!Q52)</f>
        <v>305</v>
      </c>
      <c r="F32" s="304">
        <f t="shared" si="5"/>
        <v>141</v>
      </c>
      <c r="G32" s="304">
        <f>SUM('[4]Eügyi'!Q54)</f>
        <v>164</v>
      </c>
      <c r="H32" s="304">
        <v>51</v>
      </c>
      <c r="I32" s="305">
        <f>E32+H32</f>
        <v>356</v>
      </c>
      <c r="K32" s="321">
        <f>I32/B32*100</f>
        <v>65.92592592592592</v>
      </c>
      <c r="M32" s="287">
        <f>E32+H32</f>
        <v>356</v>
      </c>
    </row>
    <row r="33" spans="1:11" ht="21" customHeight="1">
      <c r="A33" s="303" t="s">
        <v>698</v>
      </c>
      <c r="B33" s="304">
        <f>SUM('[4]Vásárhelyi'!D52)</f>
        <v>757</v>
      </c>
      <c r="C33" s="304">
        <f t="shared" si="4"/>
        <v>757</v>
      </c>
      <c r="D33" s="304">
        <f>SUM('[4]Vásárhelyi'!D54)</f>
        <v>0</v>
      </c>
      <c r="E33" s="304">
        <f>SUM('[4]Vásárhelyi'!Q52)</f>
        <v>352</v>
      </c>
      <c r="F33" s="304">
        <f t="shared" si="5"/>
        <v>352</v>
      </c>
      <c r="G33" s="304">
        <f>SUM('[4]Vásárhelyi'!Q54)</f>
        <v>0</v>
      </c>
      <c r="H33" s="304">
        <v>71</v>
      </c>
      <c r="I33" s="305">
        <f t="shared" si="0"/>
        <v>423</v>
      </c>
      <c r="K33" s="321">
        <f t="shared" si="1"/>
        <v>55.878467635402906</v>
      </c>
    </row>
    <row r="34" spans="1:11" ht="21" customHeight="1">
      <c r="A34" s="303" t="s">
        <v>699</v>
      </c>
      <c r="B34" s="304">
        <f>SUM('[4]Gépipari'!D52)</f>
        <v>1327</v>
      </c>
      <c r="C34" s="304">
        <f t="shared" si="4"/>
        <v>1163</v>
      </c>
      <c r="D34" s="304">
        <f>SUM('[4]Gépipari'!D54)</f>
        <v>164</v>
      </c>
      <c r="E34" s="304">
        <f>SUM('[4]Gépipari'!Q52)</f>
        <v>741</v>
      </c>
      <c r="F34" s="304">
        <f t="shared" si="5"/>
        <v>671</v>
      </c>
      <c r="G34" s="304">
        <f>SUM('[4]Gépipari'!Q54)</f>
        <v>70</v>
      </c>
      <c r="H34" s="304">
        <v>89</v>
      </c>
      <c r="I34" s="305">
        <f t="shared" si="0"/>
        <v>830</v>
      </c>
      <c r="K34" s="321">
        <f t="shared" si="1"/>
        <v>71.36715391229579</v>
      </c>
    </row>
    <row r="35" spans="1:11" ht="21" customHeight="1">
      <c r="A35" s="303" t="s">
        <v>700</v>
      </c>
      <c r="B35" s="304">
        <f>SUM('[4]Pálfy'!D52)</f>
        <v>595</v>
      </c>
      <c r="C35" s="304">
        <f t="shared" si="4"/>
        <v>595</v>
      </c>
      <c r="D35" s="304">
        <f>SUM('[4]Pálfy'!D54)</f>
        <v>0</v>
      </c>
      <c r="E35" s="304">
        <f>SUM('[4]Pálfy'!Q52)</f>
        <v>250</v>
      </c>
      <c r="F35" s="304">
        <f t="shared" si="5"/>
        <v>250</v>
      </c>
      <c r="G35" s="304">
        <f>SUM('[4]Pálfy'!Q54)</f>
        <v>0</v>
      </c>
      <c r="H35" s="304">
        <v>49</v>
      </c>
      <c r="I35" s="305">
        <f t="shared" si="0"/>
        <v>299</v>
      </c>
      <c r="K35" s="321">
        <f t="shared" si="1"/>
        <v>50.252100840336134</v>
      </c>
    </row>
    <row r="36" spans="1:11" ht="21" customHeight="1">
      <c r="A36" s="303" t="s">
        <v>701</v>
      </c>
      <c r="B36" s="304">
        <f>SUM('[4]Építészeti'!D52)</f>
        <v>1275</v>
      </c>
      <c r="C36" s="304">
        <f t="shared" si="4"/>
        <v>1084</v>
      </c>
      <c r="D36" s="304">
        <f>SUM('[4]Építészeti'!D54)</f>
        <v>191</v>
      </c>
      <c r="E36" s="304">
        <f>SUM('[4]Építészeti'!Q52)</f>
        <v>645</v>
      </c>
      <c r="F36" s="304">
        <f t="shared" si="5"/>
        <v>559</v>
      </c>
      <c r="G36" s="304">
        <f>SUM('[4]Építészeti'!Q54)</f>
        <v>86</v>
      </c>
      <c r="H36" s="304">
        <v>98</v>
      </c>
      <c r="I36" s="305">
        <f t="shared" si="0"/>
        <v>743</v>
      </c>
      <c r="K36" s="321">
        <f t="shared" si="1"/>
        <v>68.54243542435424</v>
      </c>
    </row>
    <row r="37" spans="1:11" ht="21" customHeight="1">
      <c r="A37" s="303" t="s">
        <v>702</v>
      </c>
      <c r="B37" s="304">
        <f>SUM('[4]Keró'!D52)</f>
        <v>938</v>
      </c>
      <c r="C37" s="304">
        <f t="shared" si="4"/>
        <v>882</v>
      </c>
      <c r="D37" s="304">
        <f>SUM('[4]Keró'!D54)</f>
        <v>56</v>
      </c>
      <c r="E37" s="304">
        <f>SUM('[4]Keró'!Q52)</f>
        <v>398</v>
      </c>
      <c r="F37" s="304">
        <f t="shared" si="5"/>
        <v>382</v>
      </c>
      <c r="G37" s="304">
        <f>SUM('[4]Keró'!Q54)</f>
        <v>16</v>
      </c>
      <c r="H37" s="304">
        <v>74</v>
      </c>
      <c r="I37" s="305">
        <f t="shared" si="0"/>
        <v>472</v>
      </c>
      <c r="K37" s="321">
        <f t="shared" si="1"/>
        <v>53.51473922902494</v>
      </c>
    </row>
    <row r="38" spans="1:11" ht="21" customHeight="1">
      <c r="A38" s="303" t="s">
        <v>703</v>
      </c>
      <c r="B38" s="304">
        <f>SUM('[4]Ruhaipari'!D52)</f>
        <v>666</v>
      </c>
      <c r="C38" s="304">
        <f t="shared" si="4"/>
        <v>666</v>
      </c>
      <c r="D38" s="304">
        <f>SUM('[4]Ruhaipari'!D54)</f>
        <v>0</v>
      </c>
      <c r="E38" s="304">
        <f>SUM('[4]Ruhaipari'!Q52)</f>
        <v>346</v>
      </c>
      <c r="F38" s="304">
        <f t="shared" si="5"/>
        <v>346</v>
      </c>
      <c r="G38" s="304">
        <f>SUM('[4]Ruhaipari'!Q54)</f>
        <v>0</v>
      </c>
      <c r="H38" s="304">
        <v>56</v>
      </c>
      <c r="I38" s="305">
        <f t="shared" si="0"/>
        <v>402</v>
      </c>
      <c r="K38" s="321">
        <f t="shared" si="1"/>
        <v>60.36036036036037</v>
      </c>
    </row>
    <row r="39" spans="1:11" ht="21" customHeight="1">
      <c r="A39" s="306" t="s">
        <v>704</v>
      </c>
      <c r="B39" s="307">
        <f aca="true" t="shared" si="6" ref="B39:H39">SUM(B28:B38)</f>
        <v>8370</v>
      </c>
      <c r="C39" s="307">
        <f t="shared" si="6"/>
        <v>7691</v>
      </c>
      <c r="D39" s="307">
        <f t="shared" si="6"/>
        <v>679</v>
      </c>
      <c r="E39" s="307">
        <f t="shared" si="6"/>
        <v>3695</v>
      </c>
      <c r="F39" s="307">
        <f t="shared" si="6"/>
        <v>3359</v>
      </c>
      <c r="G39" s="307">
        <f t="shared" si="6"/>
        <v>336</v>
      </c>
      <c r="H39" s="307">
        <f t="shared" si="6"/>
        <v>879</v>
      </c>
      <c r="I39" s="305">
        <f t="shared" si="0"/>
        <v>4574</v>
      </c>
      <c r="J39" s="291"/>
      <c r="K39" s="321">
        <f t="shared" si="1"/>
        <v>59.47211025874398</v>
      </c>
    </row>
    <row r="40" spans="1:11" ht="21" customHeight="1">
      <c r="A40" s="306" t="s">
        <v>705</v>
      </c>
      <c r="B40" s="307">
        <f aca="true" t="shared" si="7" ref="B40:H40">SUM(B39,B27,B11)</f>
        <v>17323</v>
      </c>
      <c r="C40" s="307">
        <f t="shared" si="7"/>
        <v>16644</v>
      </c>
      <c r="D40" s="307">
        <f t="shared" si="7"/>
        <v>679</v>
      </c>
      <c r="E40" s="307">
        <f t="shared" si="7"/>
        <v>4274</v>
      </c>
      <c r="F40" s="307">
        <f t="shared" si="7"/>
        <v>3938</v>
      </c>
      <c r="G40" s="307">
        <f t="shared" si="7"/>
        <v>336</v>
      </c>
      <c r="H40" s="307">
        <f t="shared" si="7"/>
        <v>879</v>
      </c>
      <c r="I40" s="305">
        <f t="shared" si="0"/>
        <v>5153</v>
      </c>
      <c r="K40" s="321">
        <f t="shared" si="1"/>
        <v>30.96010574381158</v>
      </c>
    </row>
    <row r="41" spans="1:11" ht="21" customHeight="1">
      <c r="A41" s="303" t="s">
        <v>706</v>
      </c>
      <c r="B41" s="304">
        <v>149</v>
      </c>
      <c r="C41" s="304">
        <f>B41-D41</f>
        <v>149</v>
      </c>
      <c r="D41" s="304"/>
      <c r="E41" s="304">
        <v>51</v>
      </c>
      <c r="F41" s="304">
        <f>E41-G41</f>
        <v>51</v>
      </c>
      <c r="G41" s="304"/>
      <c r="H41" s="304"/>
      <c r="I41" s="305">
        <f t="shared" si="0"/>
        <v>51</v>
      </c>
      <c r="K41" s="321">
        <f t="shared" si="1"/>
        <v>34.22818791946309</v>
      </c>
    </row>
    <row r="42" spans="1:11" ht="21" customHeight="1">
      <c r="A42" s="303" t="s">
        <v>707</v>
      </c>
      <c r="B42" s="304">
        <v>45</v>
      </c>
      <c r="C42" s="304">
        <f>B42-D42</f>
        <v>45</v>
      </c>
      <c r="D42" s="304"/>
      <c r="E42" s="304">
        <v>4</v>
      </c>
      <c r="F42" s="304">
        <f>E42-G42</f>
        <v>4</v>
      </c>
      <c r="G42" s="304"/>
      <c r="H42" s="304"/>
      <c r="I42" s="305">
        <f t="shared" si="0"/>
        <v>4</v>
      </c>
      <c r="K42" s="321">
        <f t="shared" si="1"/>
        <v>8.88888888888889</v>
      </c>
    </row>
    <row r="43" spans="1:11" ht="21" customHeight="1">
      <c r="A43" s="306" t="s">
        <v>708</v>
      </c>
      <c r="B43" s="307">
        <f aca="true" t="shared" si="8" ref="B43:H43">SUM(B41:B42)</f>
        <v>194</v>
      </c>
      <c r="C43" s="307">
        <f t="shared" si="8"/>
        <v>194</v>
      </c>
      <c r="D43" s="307">
        <f t="shared" si="8"/>
        <v>0</v>
      </c>
      <c r="E43" s="307">
        <f t="shared" si="8"/>
        <v>55</v>
      </c>
      <c r="F43" s="307">
        <f t="shared" si="8"/>
        <v>55</v>
      </c>
      <c r="G43" s="307">
        <f t="shared" si="8"/>
        <v>0</v>
      </c>
      <c r="H43" s="307">
        <f t="shared" si="8"/>
        <v>0</v>
      </c>
      <c r="I43" s="305">
        <f t="shared" si="0"/>
        <v>55</v>
      </c>
      <c r="K43" s="321">
        <f t="shared" si="1"/>
        <v>28.350515463917525</v>
      </c>
    </row>
    <row r="44" spans="1:11" ht="21" customHeight="1" thickBot="1">
      <c r="A44" s="308" t="s">
        <v>709</v>
      </c>
      <c r="B44" s="309">
        <f aca="true" t="shared" si="9" ref="B44:H44">SUM(B43,B40)</f>
        <v>17517</v>
      </c>
      <c r="C44" s="309">
        <f t="shared" si="9"/>
        <v>16838</v>
      </c>
      <c r="D44" s="309">
        <f t="shared" si="9"/>
        <v>679</v>
      </c>
      <c r="E44" s="309">
        <f t="shared" si="9"/>
        <v>4329</v>
      </c>
      <c r="F44" s="309">
        <f t="shared" si="9"/>
        <v>3993</v>
      </c>
      <c r="G44" s="309">
        <f t="shared" si="9"/>
        <v>336</v>
      </c>
      <c r="H44" s="309">
        <f t="shared" si="9"/>
        <v>879</v>
      </c>
      <c r="I44" s="324">
        <f t="shared" si="0"/>
        <v>5208</v>
      </c>
      <c r="K44" s="321">
        <f t="shared" si="1"/>
        <v>30.93003919705428</v>
      </c>
    </row>
    <row r="45" ht="21" customHeight="1" thickTop="1"/>
    <row r="46" ht="21" customHeight="1"/>
    <row r="47" spans="1:12" s="295" customFormat="1" ht="21" customHeight="1">
      <c r="A47" s="292" t="s">
        <v>710</v>
      </c>
      <c r="B47" s="293"/>
      <c r="C47" s="293"/>
      <c r="D47" s="293"/>
      <c r="E47" s="293"/>
      <c r="F47" s="293"/>
      <c r="G47" s="293"/>
      <c r="H47" s="294">
        <v>899</v>
      </c>
      <c r="L47" s="322"/>
    </row>
    <row r="48" ht="21" customHeight="1"/>
    <row r="49" spans="1:8" ht="21" customHeight="1">
      <c r="A49" s="291" t="s">
        <v>711</v>
      </c>
      <c r="H49" s="291">
        <f>H47-H44</f>
        <v>20</v>
      </c>
    </row>
    <row r="50" spans="7:8" ht="21" customHeight="1">
      <c r="G50" s="296" t="s">
        <v>712</v>
      </c>
      <c r="H50" s="297">
        <f>H47-H49</f>
        <v>879</v>
      </c>
    </row>
    <row r="51" ht="21" customHeight="1"/>
    <row r="52" ht="21" customHeight="1">
      <c r="A52" s="287" t="s">
        <v>713</v>
      </c>
    </row>
    <row r="53" ht="21" customHeight="1"/>
    <row r="54" ht="21" customHeight="1">
      <c r="A54" s="287" t="s">
        <v>714</v>
      </c>
    </row>
    <row r="55" ht="21" customHeight="1"/>
    <row r="56" spans="11:19" ht="21" customHeight="1">
      <c r="K56" s="287">
        <f aca="true" t="shared" si="10" ref="K56:P56">SUM(K10:K52)</f>
        <v>931.2008852228624</v>
      </c>
      <c r="L56" s="321">
        <f t="shared" si="10"/>
        <v>0</v>
      </c>
      <c r="M56" s="287">
        <f t="shared" si="10"/>
        <v>356</v>
      </c>
      <c r="N56" s="287">
        <f t="shared" si="10"/>
        <v>0</v>
      </c>
      <c r="O56" s="287">
        <f t="shared" si="10"/>
        <v>0</v>
      </c>
      <c r="P56" s="287">
        <f t="shared" si="10"/>
        <v>0</v>
      </c>
      <c r="S56" s="287">
        <f>SUM(S10:S52)</f>
        <v>0</v>
      </c>
    </row>
  </sheetData>
  <mergeCells count="8">
    <mergeCell ref="I5:I6"/>
    <mergeCell ref="A2:H2"/>
    <mergeCell ref="A5:A6"/>
    <mergeCell ref="E5:E6"/>
    <mergeCell ref="H5:H6"/>
    <mergeCell ref="B5:B6"/>
    <mergeCell ref="C5:D5"/>
    <mergeCell ref="F5:G5"/>
  </mergeCells>
  <printOptions/>
  <pageMargins left="0.61" right="0.15748031496062992" top="0.8661417322834646" bottom="0.5511811023622047" header="0.7086614173228347" footer="0.5118110236220472"/>
  <pageSetup horizontalDpi="600" verticalDpi="600" orientation="portrait" paperSize="9" scale="61" r:id="rId3"/>
  <headerFooter alignWithMargins="0">
    <oddFooter>&amp;C&amp;Z&amp;F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P62"/>
  <sheetViews>
    <sheetView tabSelected="1" workbookViewId="0" topLeftCell="A1">
      <pane xSplit="1" ySplit="6" topLeftCell="C7" activePane="bottomRight" state="frozen"/>
      <selection pane="topLeft" activeCell="C13" sqref="C13"/>
      <selection pane="topRight" activeCell="C13" sqref="C13"/>
      <selection pane="bottomLeft" activeCell="C13" sqref="C13"/>
      <selection pane="bottomRight" activeCell="O17" sqref="O17"/>
    </sheetView>
  </sheetViews>
  <sheetFormatPr defaultColWidth="9.140625" defaultRowHeight="12.75"/>
  <cols>
    <col min="1" max="1" width="32.140625" style="876" customWidth="1"/>
    <col min="2" max="2" width="0" style="876" hidden="1" customWidth="1"/>
    <col min="3" max="13" width="11.7109375" style="876" customWidth="1"/>
    <col min="14" max="16384" width="9.140625" style="876" customWidth="1"/>
  </cols>
  <sheetData>
    <row r="2" spans="1:13" ht="15.75">
      <c r="A2" s="1198" t="s">
        <v>80</v>
      </c>
      <c r="B2" s="1198"/>
      <c r="C2" s="1198"/>
      <c r="D2" s="1198"/>
      <c r="E2" s="1198"/>
      <c r="F2" s="1198"/>
      <c r="G2" s="1198"/>
      <c r="H2" s="1198"/>
      <c r="I2" s="1198"/>
      <c r="J2" s="1198"/>
      <c r="K2" s="1198"/>
      <c r="L2" s="1198"/>
      <c r="M2" s="1198"/>
    </row>
    <row r="3" spans="1:13" ht="15.75">
      <c r="A3" s="868"/>
      <c r="B3" s="868"/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868"/>
    </row>
    <row r="4" spans="1:13" ht="15.75">
      <c r="A4" s="868"/>
      <c r="B4" s="868"/>
      <c r="C4" s="868"/>
      <c r="D4" s="868"/>
      <c r="E4" s="868"/>
      <c r="F4" s="868"/>
      <c r="G4" s="868"/>
      <c r="H4" s="868"/>
      <c r="I4" s="868"/>
      <c r="J4" s="868"/>
      <c r="K4" s="868"/>
      <c r="M4" s="878" t="s">
        <v>132</v>
      </c>
    </row>
    <row r="5" spans="1:13" ht="12.75" customHeight="1">
      <c r="A5" s="1203" t="s">
        <v>574</v>
      </c>
      <c r="B5" s="1196" t="s">
        <v>219</v>
      </c>
      <c r="C5" s="1196"/>
      <c r="D5" s="1196"/>
      <c r="E5" s="1196"/>
      <c r="F5" s="1196"/>
      <c r="G5" s="1196"/>
      <c r="H5" s="1196"/>
      <c r="I5" s="1196"/>
      <c r="J5" s="1197"/>
      <c r="K5" s="991" t="s">
        <v>595</v>
      </c>
      <c r="L5" s="1199" t="s">
        <v>462</v>
      </c>
      <c r="M5" s="1201" t="s">
        <v>463</v>
      </c>
    </row>
    <row r="6" spans="1:13" ht="12.75">
      <c r="A6" s="1204"/>
      <c r="B6" s="993" t="s">
        <v>557</v>
      </c>
      <c r="C6" s="993" t="s">
        <v>559</v>
      </c>
      <c r="D6" s="992" t="s">
        <v>521</v>
      </c>
      <c r="E6" s="992" t="s">
        <v>524</v>
      </c>
      <c r="F6" s="992" t="s">
        <v>527</v>
      </c>
      <c r="G6" s="992" t="s">
        <v>544</v>
      </c>
      <c r="H6" s="992" t="s">
        <v>547</v>
      </c>
      <c r="I6" s="992" t="s">
        <v>565</v>
      </c>
      <c r="J6" s="992" t="s">
        <v>458</v>
      </c>
      <c r="K6" s="992" t="s">
        <v>81</v>
      </c>
      <c r="L6" s="1200"/>
      <c r="M6" s="1202"/>
    </row>
    <row r="7" spans="1:13" s="998" customFormat="1" ht="15" customHeight="1">
      <c r="A7" s="995" t="s">
        <v>572</v>
      </c>
      <c r="B7" s="996">
        <v>5202</v>
      </c>
      <c r="C7" s="996">
        <v>5672</v>
      </c>
      <c r="D7" s="996">
        <v>7892</v>
      </c>
      <c r="E7" s="996">
        <v>7674</v>
      </c>
      <c r="F7" s="996">
        <v>6909</v>
      </c>
      <c r="G7" s="996">
        <v>6870</v>
      </c>
      <c r="H7" s="996">
        <v>8177</v>
      </c>
      <c r="I7" s="996">
        <f>8047-I8+1328+15+1297</f>
        <v>7690</v>
      </c>
      <c r="J7" s="996">
        <f>8085-J8+10+787+1338</f>
        <v>7361</v>
      </c>
      <c r="K7" s="1144">
        <f>SUM(J7/C7*100)</f>
        <v>129.77785613540198</v>
      </c>
      <c r="L7" s="996">
        <v>7758</v>
      </c>
      <c r="M7" s="997">
        <f>7283+30</f>
        <v>7313</v>
      </c>
    </row>
    <row r="8" spans="1:13" ht="15" customHeight="1">
      <c r="A8" s="965" t="s">
        <v>125</v>
      </c>
      <c r="B8" s="884">
        <v>1250</v>
      </c>
      <c r="C8" s="884">
        <v>1389</v>
      </c>
      <c r="D8" s="884">
        <v>1713</v>
      </c>
      <c r="E8" s="884">
        <v>1999</v>
      </c>
      <c r="F8" s="884">
        <v>2393</v>
      </c>
      <c r="G8" s="884">
        <v>2758</v>
      </c>
      <c r="H8" s="884">
        <v>2858</v>
      </c>
      <c r="I8" s="884">
        <v>2997</v>
      </c>
      <c r="J8" s="884">
        <v>2859</v>
      </c>
      <c r="K8" s="940">
        <f aca="true" t="shared" si="0" ref="K8:K14">SUM(J8/C8*100)</f>
        <v>205.83153347732178</v>
      </c>
      <c r="L8" s="884">
        <v>2007</v>
      </c>
      <c r="M8" s="969">
        <v>2173</v>
      </c>
    </row>
    <row r="9" spans="1:13" ht="15" customHeight="1">
      <c r="A9" s="965" t="s">
        <v>34</v>
      </c>
      <c r="B9" s="884">
        <v>3778</v>
      </c>
      <c r="C9" s="884">
        <v>3578</v>
      </c>
      <c r="D9" s="884">
        <v>4046</v>
      </c>
      <c r="E9" s="884">
        <v>5167</v>
      </c>
      <c r="F9" s="884">
        <v>6655</v>
      </c>
      <c r="G9" s="884">
        <v>6843</v>
      </c>
      <c r="H9" s="884">
        <v>7554</v>
      </c>
      <c r="I9" s="884">
        <v>7152</v>
      </c>
      <c r="J9" s="884">
        <v>7231</v>
      </c>
      <c r="K9" s="940">
        <f t="shared" si="0"/>
        <v>202.09614309670206</v>
      </c>
      <c r="L9" s="884">
        <v>6560</v>
      </c>
      <c r="M9" s="969">
        <v>6390</v>
      </c>
    </row>
    <row r="10" spans="1:13" ht="15" customHeight="1">
      <c r="A10" s="965" t="s">
        <v>35</v>
      </c>
      <c r="B10" s="884">
        <v>288</v>
      </c>
      <c r="C10" s="884">
        <v>1194</v>
      </c>
      <c r="D10" s="884">
        <v>630</v>
      </c>
      <c r="E10" s="884">
        <v>603</v>
      </c>
      <c r="F10" s="884">
        <v>663</v>
      </c>
      <c r="G10" s="884">
        <v>841</v>
      </c>
      <c r="H10" s="884">
        <v>841</v>
      </c>
      <c r="I10" s="884">
        <v>986</v>
      </c>
      <c r="J10" s="884">
        <f>548+5</f>
        <v>553</v>
      </c>
      <c r="K10" s="940">
        <f t="shared" si="0"/>
        <v>46.31490787269682</v>
      </c>
      <c r="L10" s="884">
        <v>263</v>
      </c>
      <c r="M10" s="969">
        <v>681</v>
      </c>
    </row>
    <row r="11" spans="1:13" s="998" customFormat="1" ht="15" customHeight="1">
      <c r="A11" s="999" t="s">
        <v>37</v>
      </c>
      <c r="B11" s="996">
        <f aca="true" t="shared" si="1" ref="B11:J11">SUM(B8:B10)</f>
        <v>5316</v>
      </c>
      <c r="C11" s="996">
        <f t="shared" si="1"/>
        <v>6161</v>
      </c>
      <c r="D11" s="996">
        <f t="shared" si="1"/>
        <v>6389</v>
      </c>
      <c r="E11" s="996">
        <f t="shared" si="1"/>
        <v>7769</v>
      </c>
      <c r="F11" s="996">
        <f t="shared" si="1"/>
        <v>9711</v>
      </c>
      <c r="G11" s="996">
        <f t="shared" si="1"/>
        <v>10442</v>
      </c>
      <c r="H11" s="996">
        <f t="shared" si="1"/>
        <v>11253</v>
      </c>
      <c r="I11" s="996">
        <f t="shared" si="1"/>
        <v>11135</v>
      </c>
      <c r="J11" s="996">
        <f t="shared" si="1"/>
        <v>10643</v>
      </c>
      <c r="K11" s="1144">
        <f t="shared" si="0"/>
        <v>172.747930530758</v>
      </c>
      <c r="L11" s="996">
        <v>8830</v>
      </c>
      <c r="M11" s="1000">
        <f>SUM(M8:M10)</f>
        <v>9244</v>
      </c>
    </row>
    <row r="12" spans="1:13" ht="15" customHeight="1">
      <c r="A12" s="999" t="s">
        <v>36</v>
      </c>
      <c r="B12" s="996">
        <v>359</v>
      </c>
      <c r="C12" s="996">
        <v>763</v>
      </c>
      <c r="D12" s="996">
        <v>2657</v>
      </c>
      <c r="E12" s="996">
        <v>1580</v>
      </c>
      <c r="F12" s="996">
        <v>722</v>
      </c>
      <c r="G12" s="996">
        <v>1389</v>
      </c>
      <c r="H12" s="996">
        <v>2220</v>
      </c>
      <c r="I12" s="996">
        <v>1489</v>
      </c>
      <c r="J12" s="996">
        <v>297</v>
      </c>
      <c r="K12" s="940">
        <f t="shared" si="0"/>
        <v>38.92529488859764</v>
      </c>
      <c r="L12" s="1099">
        <v>864</v>
      </c>
      <c r="M12" s="1000">
        <v>962</v>
      </c>
    </row>
    <row r="13" spans="1:13" ht="15" customHeight="1">
      <c r="A13" s="999" t="s">
        <v>33</v>
      </c>
      <c r="B13" s="996">
        <v>357</v>
      </c>
      <c r="C13" s="996">
        <v>1058</v>
      </c>
      <c r="D13" s="996">
        <v>1532</v>
      </c>
      <c r="E13" s="996">
        <v>382</v>
      </c>
      <c r="F13" s="996">
        <v>129</v>
      </c>
      <c r="G13" s="996">
        <v>474</v>
      </c>
      <c r="H13" s="996">
        <v>367</v>
      </c>
      <c r="I13" s="996">
        <v>2854</v>
      </c>
      <c r="J13" s="996">
        <v>1406</v>
      </c>
      <c r="K13" s="940">
        <f t="shared" si="0"/>
        <v>132.8922495274102</v>
      </c>
      <c r="L13" s="1099">
        <v>119</v>
      </c>
      <c r="M13" s="1000">
        <v>129</v>
      </c>
    </row>
    <row r="14" spans="1:13" ht="15" customHeight="1">
      <c r="A14" s="995" t="s">
        <v>126</v>
      </c>
      <c r="B14" s="996">
        <v>1197</v>
      </c>
      <c r="C14" s="996">
        <v>1063</v>
      </c>
      <c r="D14" s="996">
        <v>2801</v>
      </c>
      <c r="E14" s="996">
        <v>2058</v>
      </c>
      <c r="F14" s="996">
        <v>988</v>
      </c>
      <c r="G14" s="996">
        <v>1495</v>
      </c>
      <c r="H14" s="996">
        <v>1053</v>
      </c>
      <c r="I14" s="996">
        <v>1115</v>
      </c>
      <c r="J14" s="996">
        <v>2467</v>
      </c>
      <c r="K14" s="940">
        <f t="shared" si="0"/>
        <v>232.07902163687675</v>
      </c>
      <c r="L14" s="996">
        <v>3291</v>
      </c>
      <c r="M14" s="997">
        <f>3809+375</f>
        <v>4184</v>
      </c>
    </row>
    <row r="15" spans="1:15" ht="15" customHeight="1">
      <c r="A15" s="1001" t="s">
        <v>573</v>
      </c>
      <c r="B15" s="1002">
        <v>32</v>
      </c>
      <c r="C15" s="884"/>
      <c r="D15" s="884">
        <v>177</v>
      </c>
      <c r="E15" s="884">
        <v>990</v>
      </c>
      <c r="F15" s="884">
        <v>3984</v>
      </c>
      <c r="G15" s="884">
        <v>11</v>
      </c>
      <c r="H15" s="884">
        <v>2919</v>
      </c>
      <c r="I15" s="884">
        <v>5310</v>
      </c>
      <c r="J15" s="884">
        <f>7082+821</f>
        <v>7903</v>
      </c>
      <c r="K15" s="1144"/>
      <c r="L15" s="884"/>
      <c r="M15" s="885"/>
      <c r="O15" s="966"/>
    </row>
    <row r="16" spans="1:16" ht="16.5" customHeight="1">
      <c r="A16" s="1015" t="s">
        <v>405</v>
      </c>
      <c r="B16" s="1016">
        <f aca="true" t="shared" si="2" ref="B16:J16">SUM(B15+B14+B13+B12+B11+B7)</f>
        <v>12463</v>
      </c>
      <c r="C16" s="1016">
        <f t="shared" si="2"/>
        <v>14717</v>
      </c>
      <c r="D16" s="1016">
        <f t="shared" si="2"/>
        <v>21448</v>
      </c>
      <c r="E16" s="1016">
        <f t="shared" si="2"/>
        <v>20453</v>
      </c>
      <c r="F16" s="1016">
        <f t="shared" si="2"/>
        <v>22443</v>
      </c>
      <c r="G16" s="1016">
        <f t="shared" si="2"/>
        <v>20681</v>
      </c>
      <c r="H16" s="1016">
        <f t="shared" si="2"/>
        <v>25989</v>
      </c>
      <c r="I16" s="1016">
        <f t="shared" si="2"/>
        <v>29593</v>
      </c>
      <c r="J16" s="1016">
        <f t="shared" si="2"/>
        <v>30077</v>
      </c>
      <c r="K16" s="1145">
        <f>SUM(J16/B16*100)</f>
        <v>241.33033779988767</v>
      </c>
      <c r="L16" s="1016">
        <v>20862</v>
      </c>
      <c r="M16" s="1017">
        <v>21832</v>
      </c>
      <c r="O16" s="966"/>
      <c r="P16" s="966"/>
    </row>
    <row r="17" spans="1:12" ht="12.75">
      <c r="A17" s="867"/>
      <c r="B17" s="1003"/>
      <c r="C17" s="1003"/>
      <c r="D17" s="1003"/>
      <c r="E17" s="1003"/>
      <c r="F17" s="1003"/>
      <c r="G17" s="1003"/>
      <c r="H17" s="1003"/>
      <c r="I17" s="1003"/>
      <c r="J17" s="1003"/>
      <c r="K17" s="1003"/>
      <c r="L17" s="1003"/>
    </row>
    <row r="18" spans="1:13" ht="12.75">
      <c r="A18" s="1004"/>
      <c r="B18" s="1005"/>
      <c r="C18" s="1005"/>
      <c r="D18" s="1005"/>
      <c r="E18" s="1005"/>
      <c r="F18" s="1005"/>
      <c r="G18" s="1005"/>
      <c r="H18" s="1005"/>
      <c r="I18" s="1005"/>
      <c r="J18" s="1005"/>
      <c r="K18" s="1005"/>
      <c r="L18" s="1005"/>
      <c r="M18" s="1005"/>
    </row>
    <row r="19" spans="1:13" ht="15.75">
      <c r="A19" s="1205" t="s">
        <v>82</v>
      </c>
      <c r="B19" s="1205"/>
      <c r="C19" s="1205"/>
      <c r="D19" s="1205"/>
      <c r="E19" s="1205"/>
      <c r="F19" s="1205"/>
      <c r="G19" s="1205"/>
      <c r="H19" s="1205"/>
      <c r="I19" s="1205"/>
      <c r="J19" s="1205"/>
      <c r="K19" s="1205"/>
      <c r="L19" s="1205"/>
      <c r="M19" s="1004"/>
    </row>
    <row r="20" spans="1:13" ht="15.75">
      <c r="A20" s="889"/>
      <c r="B20" s="889"/>
      <c r="C20" s="889"/>
      <c r="D20" s="889"/>
      <c r="E20" s="889"/>
      <c r="F20" s="889"/>
      <c r="G20" s="889"/>
      <c r="H20" s="889"/>
      <c r="I20" s="889"/>
      <c r="J20" s="889"/>
      <c r="K20" s="889"/>
      <c r="L20" s="889"/>
      <c r="M20" s="1004"/>
    </row>
    <row r="21" spans="1:13" ht="14.25" customHeight="1">
      <c r="A21" s="1203" t="s">
        <v>574</v>
      </c>
      <c r="B21" s="1196" t="s">
        <v>219</v>
      </c>
      <c r="C21" s="1196"/>
      <c r="D21" s="1196"/>
      <c r="E21" s="1196"/>
      <c r="F21" s="1196"/>
      <c r="G21" s="1196"/>
      <c r="H21" s="1196"/>
      <c r="I21" s="1196"/>
      <c r="J21" s="1197"/>
      <c r="K21" s="1199" t="s">
        <v>460</v>
      </c>
      <c r="L21" s="1201" t="s">
        <v>461</v>
      </c>
      <c r="M21" s="1004"/>
    </row>
    <row r="22" spans="1:13" ht="14.25" customHeight="1">
      <c r="A22" s="1204"/>
      <c r="B22" s="993" t="s">
        <v>557</v>
      </c>
      <c r="C22" s="993" t="s">
        <v>559</v>
      </c>
      <c r="D22" s="992" t="s">
        <v>521</v>
      </c>
      <c r="E22" s="992" t="s">
        <v>524</v>
      </c>
      <c r="F22" s="992" t="s">
        <v>527</v>
      </c>
      <c r="G22" s="992" t="s">
        <v>544</v>
      </c>
      <c r="H22" s="992" t="s">
        <v>547</v>
      </c>
      <c r="I22" s="992" t="s">
        <v>565</v>
      </c>
      <c r="J22" s="992" t="s">
        <v>458</v>
      </c>
      <c r="K22" s="1200"/>
      <c r="L22" s="1202"/>
      <c r="M22" s="1004"/>
    </row>
    <row r="23" spans="1:13" ht="18" customHeight="1">
      <c r="A23" s="1006" t="s">
        <v>397</v>
      </c>
      <c r="B23" s="836">
        <f aca="true" t="shared" si="3" ref="B23:H23">B7/B$16</f>
        <v>0.4173954906523309</v>
      </c>
      <c r="C23" s="836">
        <f t="shared" si="3"/>
        <v>0.38540463409662296</v>
      </c>
      <c r="D23" s="836">
        <f t="shared" si="3"/>
        <v>0.3679597165236852</v>
      </c>
      <c r="E23" s="836">
        <f t="shared" si="3"/>
        <v>0.37520168190485503</v>
      </c>
      <c r="F23" s="836">
        <f t="shared" si="3"/>
        <v>0.30784654457960164</v>
      </c>
      <c r="G23" s="836">
        <f t="shared" si="3"/>
        <v>0.3321889657173251</v>
      </c>
      <c r="H23" s="836">
        <f t="shared" si="3"/>
        <v>0.31463311400977334</v>
      </c>
      <c r="I23" s="836">
        <f>I7/I$16</f>
        <v>0.2598587503801575</v>
      </c>
      <c r="J23" s="836">
        <f>J7/J$16</f>
        <v>0.24473850450510357</v>
      </c>
      <c r="K23" s="836">
        <f>L7/L$16</f>
        <v>0.3718723037100949</v>
      </c>
      <c r="L23" s="875">
        <f>M7/M$16</f>
        <v>0.3349670208867717</v>
      </c>
      <c r="M23" s="1004"/>
    </row>
    <row r="24" spans="1:13" ht="18" customHeight="1">
      <c r="A24" s="999" t="s">
        <v>37</v>
      </c>
      <c r="B24" s="834">
        <f aca="true" t="shared" si="4" ref="B24:H24">B11/B16</f>
        <v>0.42654256599534623</v>
      </c>
      <c r="C24" s="834">
        <f t="shared" si="4"/>
        <v>0.4186315145749813</v>
      </c>
      <c r="D24" s="834">
        <f t="shared" si="4"/>
        <v>0.29788325251771725</v>
      </c>
      <c r="E24" s="834">
        <f t="shared" si="4"/>
        <v>0.3798464772893952</v>
      </c>
      <c r="F24" s="834">
        <f t="shared" si="4"/>
        <v>0.43269616361449004</v>
      </c>
      <c r="G24" s="834">
        <f t="shared" si="4"/>
        <v>0.5049078864658382</v>
      </c>
      <c r="H24" s="834">
        <f t="shared" si="4"/>
        <v>0.43299088075724346</v>
      </c>
      <c r="I24" s="834">
        <f>I11/I16</f>
        <v>0.3762714155374582</v>
      </c>
      <c r="J24" s="834">
        <f>J11/J16</f>
        <v>0.3538584300295907</v>
      </c>
      <c r="K24" s="834">
        <f>L11/L16</f>
        <v>0.423257597545777</v>
      </c>
      <c r="L24" s="1007">
        <f>M11/M16</f>
        <v>0.42341517039208504</v>
      </c>
      <c r="M24" s="1004"/>
    </row>
    <row r="25" spans="1:13" ht="18" customHeight="1">
      <c r="A25" s="999" t="s">
        <v>36</v>
      </c>
      <c r="B25" s="834">
        <f aca="true" t="shared" si="5" ref="B25:H25">B12/B16</f>
        <v>0.028805263580197384</v>
      </c>
      <c r="C25" s="834">
        <f t="shared" si="5"/>
        <v>0.05184480532717266</v>
      </c>
      <c r="D25" s="834">
        <f t="shared" si="5"/>
        <v>0.12388101454681089</v>
      </c>
      <c r="E25" s="834">
        <f t="shared" si="5"/>
        <v>0.07725028113235222</v>
      </c>
      <c r="F25" s="834">
        <f t="shared" si="5"/>
        <v>0.032170387203136835</v>
      </c>
      <c r="G25" s="834">
        <f t="shared" si="5"/>
        <v>0.06716309656206179</v>
      </c>
      <c r="H25" s="834">
        <f t="shared" si="5"/>
        <v>0.0854207549347801</v>
      </c>
      <c r="I25" s="834">
        <f>I12/I16</f>
        <v>0.05031595309701618</v>
      </c>
      <c r="J25" s="834">
        <f>J12/J16</f>
        <v>0.009874655052033115</v>
      </c>
      <c r="K25" s="834">
        <f>L12/L16</f>
        <v>0.04141501294219154</v>
      </c>
      <c r="L25" s="1007">
        <f>M12/M16</f>
        <v>0.04406375961890802</v>
      </c>
      <c r="M25" s="1004"/>
    </row>
    <row r="26" spans="1:13" ht="18" customHeight="1">
      <c r="A26" s="999" t="s">
        <v>38</v>
      </c>
      <c r="B26" s="834">
        <f aca="true" t="shared" si="6" ref="B26:H26">B13/B16</f>
        <v>0.028644788574179573</v>
      </c>
      <c r="C26" s="834">
        <f t="shared" si="6"/>
        <v>0.07188965142352381</v>
      </c>
      <c r="D26" s="834">
        <f t="shared" si="6"/>
        <v>0.07142857142857142</v>
      </c>
      <c r="E26" s="834">
        <f t="shared" si="6"/>
        <v>0.01867696670415098</v>
      </c>
      <c r="F26" s="834">
        <f t="shared" si="6"/>
        <v>0.005747894666488437</v>
      </c>
      <c r="G26" s="834">
        <f t="shared" si="6"/>
        <v>0.022919588027658238</v>
      </c>
      <c r="H26" s="834">
        <f t="shared" si="6"/>
        <v>0.014121359036515449</v>
      </c>
      <c r="I26" s="834">
        <f>I13/I16</f>
        <v>0.09644172608387118</v>
      </c>
      <c r="J26" s="834">
        <f>J13/J16</f>
        <v>0.04674668351231838</v>
      </c>
      <c r="K26" s="834">
        <f>L13/L16</f>
        <v>0.005704151088102771</v>
      </c>
      <c r="L26" s="1007">
        <f>M13/M16</f>
        <v>0.0059087577867350674</v>
      </c>
      <c r="M26" s="1004"/>
    </row>
    <row r="27" spans="1:13" ht="18" customHeight="1">
      <c r="A27" s="1131" t="s">
        <v>77</v>
      </c>
      <c r="B27" s="837">
        <f aca="true" t="shared" si="7" ref="B27:H27">B14/B16</f>
        <v>0.09604429110166092</v>
      </c>
      <c r="C27" s="837">
        <f t="shared" si="7"/>
        <v>0.07222939457769927</v>
      </c>
      <c r="D27" s="837">
        <f t="shared" si="7"/>
        <v>0.13059492726594554</v>
      </c>
      <c r="E27" s="837">
        <f t="shared" si="7"/>
        <v>0.10062093580403852</v>
      </c>
      <c r="F27" s="837">
        <f t="shared" si="7"/>
        <v>0.044022635120081983</v>
      </c>
      <c r="G27" s="837">
        <f t="shared" si="7"/>
        <v>0.07228857405347903</v>
      </c>
      <c r="H27" s="837">
        <f t="shared" si="7"/>
        <v>0.04051714186771326</v>
      </c>
      <c r="I27" s="837">
        <f>I14/I16</f>
        <v>0.03767782921636874</v>
      </c>
      <c r="J27" s="837">
        <f>J14/J16</f>
        <v>0.08202280812581042</v>
      </c>
      <c r="K27" s="837">
        <f>L14/L16</f>
        <v>0.15775093471383375</v>
      </c>
      <c r="L27" s="1008">
        <f>M14/M16</f>
        <v>0.19164529131550018</v>
      </c>
      <c r="M27" s="1004"/>
    </row>
    <row r="28" spans="1:13" ht="18" customHeight="1">
      <c r="A28" s="1015" t="s">
        <v>405</v>
      </c>
      <c r="B28" s="1009">
        <f aca="true" t="shared" si="8" ref="B28:J28">SUM(B23:B27)</f>
        <v>0.997432399903715</v>
      </c>
      <c r="C28" s="1009">
        <f t="shared" si="8"/>
        <v>1</v>
      </c>
      <c r="D28" s="1009">
        <f t="shared" si="8"/>
        <v>0.9917474822827304</v>
      </c>
      <c r="E28" s="1009">
        <f t="shared" si="8"/>
        <v>0.9515963428347919</v>
      </c>
      <c r="F28" s="1009">
        <f t="shared" si="8"/>
        <v>0.8224836251837988</v>
      </c>
      <c r="G28" s="1009">
        <f t="shared" si="8"/>
        <v>0.9994681108263622</v>
      </c>
      <c r="H28" s="1009">
        <f t="shared" si="8"/>
        <v>0.8876832506060256</v>
      </c>
      <c r="I28" s="1009">
        <f t="shared" si="8"/>
        <v>0.8205656743148718</v>
      </c>
      <c r="J28" s="1009">
        <f t="shared" si="8"/>
        <v>0.7372410812248562</v>
      </c>
      <c r="K28" s="1009">
        <f>SUM(K23:K27)</f>
        <v>0.9999999999999999</v>
      </c>
      <c r="L28" s="1010">
        <f>SUM(L23:L27)</f>
        <v>1</v>
      </c>
      <c r="M28" s="1004"/>
    </row>
    <row r="29" spans="1:13" ht="12.75">
      <c r="A29" s="1011"/>
      <c r="B29" s="888"/>
      <c r="C29" s="888"/>
      <c r="D29" s="888"/>
      <c r="E29" s="888"/>
      <c r="F29" s="888"/>
      <c r="G29" s="888"/>
      <c r="H29" s="888"/>
      <c r="I29" s="888"/>
      <c r="J29" s="888"/>
      <c r="K29" s="888"/>
      <c r="L29" s="888"/>
      <c r="M29" s="1004"/>
    </row>
    <row r="30" spans="1:13" ht="12.75">
      <c r="A30" s="1011"/>
      <c r="B30" s="1012"/>
      <c r="C30" s="1012"/>
      <c r="D30" s="1012"/>
      <c r="E30" s="1012"/>
      <c r="F30" s="1012"/>
      <c r="G30" s="1012"/>
      <c r="H30" s="1012"/>
      <c r="I30" s="1012"/>
      <c r="J30" s="1012"/>
      <c r="K30" s="1012"/>
      <c r="L30" s="1012"/>
      <c r="M30" s="1004"/>
    </row>
    <row r="54" spans="1:13" ht="12.75">
      <c r="A54" s="1013"/>
      <c r="B54" s="1013" t="s">
        <v>431</v>
      </c>
      <c r="C54" s="1005"/>
      <c r="D54" s="1005"/>
      <c r="E54" s="1005"/>
      <c r="F54" s="1005"/>
      <c r="G54" s="1005"/>
      <c r="H54" s="1005"/>
      <c r="I54" s="1005"/>
      <c r="J54" s="1005"/>
      <c r="K54" s="1005"/>
      <c r="L54" s="1005"/>
      <c r="M54" s="1005"/>
    </row>
    <row r="55" spans="1:13" ht="12.75">
      <c r="A55" s="1013"/>
      <c r="B55" s="1013"/>
      <c r="C55" s="867"/>
      <c r="D55" s="867">
        <v>2000</v>
      </c>
      <c r="E55" s="867">
        <v>2001</v>
      </c>
      <c r="F55" s="867">
        <v>2002</v>
      </c>
      <c r="G55" s="867">
        <v>2003</v>
      </c>
      <c r="H55" s="867">
        <v>2004</v>
      </c>
      <c r="I55" s="867">
        <v>2005</v>
      </c>
      <c r="J55" s="867">
        <v>2006</v>
      </c>
      <c r="K55" s="867">
        <v>2007</v>
      </c>
      <c r="L55" s="876" t="s">
        <v>530</v>
      </c>
      <c r="M55" s="876" t="s">
        <v>464</v>
      </c>
    </row>
    <row r="56" spans="1:13" ht="12.75">
      <c r="A56" s="1011"/>
      <c r="B56" s="1011" t="s">
        <v>397</v>
      </c>
      <c r="C56" s="888"/>
      <c r="D56" s="888">
        <v>5672</v>
      </c>
      <c r="E56" s="888">
        <v>7892</v>
      </c>
      <c r="F56" s="888">
        <v>7674</v>
      </c>
      <c r="G56" s="888">
        <v>6909</v>
      </c>
      <c r="H56" s="888">
        <v>6870</v>
      </c>
      <c r="I56" s="888">
        <v>8177</v>
      </c>
      <c r="J56" s="888">
        <f>I7</f>
        <v>7690</v>
      </c>
      <c r="K56" s="888">
        <f>J7</f>
        <v>7361</v>
      </c>
      <c r="L56" s="888">
        <f>L7</f>
        <v>7758</v>
      </c>
      <c r="M56" s="1088">
        <f>M7</f>
        <v>7313</v>
      </c>
    </row>
    <row r="57" spans="1:13" ht="12.75">
      <c r="A57" s="1013"/>
      <c r="B57" s="1013" t="s">
        <v>401</v>
      </c>
      <c r="C57" s="1005"/>
      <c r="D57" s="1005">
        <f aca="true" t="shared" si="9" ref="D57:I57">C11</f>
        <v>6161</v>
      </c>
      <c r="E57" s="1005">
        <f t="shared" si="9"/>
        <v>6389</v>
      </c>
      <c r="F57" s="1005">
        <f t="shared" si="9"/>
        <v>7769</v>
      </c>
      <c r="G57" s="1005">
        <f t="shared" si="9"/>
        <v>9711</v>
      </c>
      <c r="H57" s="1005">
        <f t="shared" si="9"/>
        <v>10442</v>
      </c>
      <c r="I57" s="1005">
        <f t="shared" si="9"/>
        <v>11253</v>
      </c>
      <c r="J57" s="1003">
        <f aca="true" t="shared" si="10" ref="J57:K62">I11</f>
        <v>11135</v>
      </c>
      <c r="K57" s="1003">
        <f t="shared" si="10"/>
        <v>10643</v>
      </c>
      <c r="L57" s="1003">
        <f>L11</f>
        <v>8830</v>
      </c>
      <c r="M57" s="1005">
        <f>M11</f>
        <v>9244</v>
      </c>
    </row>
    <row r="58" spans="1:13" ht="12.75">
      <c r="A58" s="1013"/>
      <c r="B58" s="1013" t="s">
        <v>402</v>
      </c>
      <c r="C58" s="1005"/>
      <c r="D58" s="1005">
        <f aca="true" t="shared" si="11" ref="D58:I58">C12</f>
        <v>763</v>
      </c>
      <c r="E58" s="1005">
        <f t="shared" si="11"/>
        <v>2657</v>
      </c>
      <c r="F58" s="1005">
        <f t="shared" si="11"/>
        <v>1580</v>
      </c>
      <c r="G58" s="1005">
        <f t="shared" si="11"/>
        <v>722</v>
      </c>
      <c r="H58" s="1005">
        <f t="shared" si="11"/>
        <v>1389</v>
      </c>
      <c r="I58" s="1005">
        <f t="shared" si="11"/>
        <v>2220</v>
      </c>
      <c r="J58" s="1003">
        <f t="shared" si="10"/>
        <v>1489</v>
      </c>
      <c r="K58" s="1003">
        <f t="shared" si="10"/>
        <v>297</v>
      </c>
      <c r="L58" s="1003">
        <f aca="true" t="shared" si="12" ref="L58:M62">L12</f>
        <v>864</v>
      </c>
      <c r="M58" s="1005">
        <f t="shared" si="12"/>
        <v>962</v>
      </c>
    </row>
    <row r="59" spans="1:13" ht="12.75">
      <c r="A59" s="1013"/>
      <c r="B59" s="1013" t="s">
        <v>403</v>
      </c>
      <c r="C59" s="1005"/>
      <c r="D59" s="1005">
        <f aca="true" t="shared" si="13" ref="D59:I59">C13</f>
        <v>1058</v>
      </c>
      <c r="E59" s="1005">
        <f t="shared" si="13"/>
        <v>1532</v>
      </c>
      <c r="F59" s="1005">
        <f t="shared" si="13"/>
        <v>382</v>
      </c>
      <c r="G59" s="1005">
        <f t="shared" si="13"/>
        <v>129</v>
      </c>
      <c r="H59" s="1005">
        <f t="shared" si="13"/>
        <v>474</v>
      </c>
      <c r="I59" s="1005">
        <f t="shared" si="13"/>
        <v>367</v>
      </c>
      <c r="J59" s="1003">
        <f t="shared" si="10"/>
        <v>2854</v>
      </c>
      <c r="K59" s="1003">
        <f t="shared" si="10"/>
        <v>1406</v>
      </c>
      <c r="L59" s="1003">
        <f t="shared" si="12"/>
        <v>119</v>
      </c>
      <c r="M59" s="1005">
        <f t="shared" si="12"/>
        <v>129</v>
      </c>
    </row>
    <row r="60" spans="1:13" ht="12.75">
      <c r="A60" s="1011"/>
      <c r="B60" s="1011" t="s">
        <v>404</v>
      </c>
      <c r="C60" s="1005"/>
      <c r="D60" s="1005">
        <f aca="true" t="shared" si="14" ref="D60:I60">C14</f>
        <v>1063</v>
      </c>
      <c r="E60" s="1005">
        <f t="shared" si="14"/>
        <v>2801</v>
      </c>
      <c r="F60" s="1005">
        <f t="shared" si="14"/>
        <v>2058</v>
      </c>
      <c r="G60" s="1005">
        <f t="shared" si="14"/>
        <v>988</v>
      </c>
      <c r="H60" s="1005">
        <f t="shared" si="14"/>
        <v>1495</v>
      </c>
      <c r="I60" s="1005">
        <f t="shared" si="14"/>
        <v>1053</v>
      </c>
      <c r="J60" s="1003">
        <f t="shared" si="10"/>
        <v>1115</v>
      </c>
      <c r="K60" s="1003">
        <f t="shared" si="10"/>
        <v>2467</v>
      </c>
      <c r="L60" s="1003">
        <f t="shared" si="12"/>
        <v>3291</v>
      </c>
      <c r="M60" s="1005">
        <f t="shared" si="12"/>
        <v>4184</v>
      </c>
    </row>
    <row r="61" spans="1:13" ht="12.75">
      <c r="A61" s="1004"/>
      <c r="B61" s="1004" t="s">
        <v>573</v>
      </c>
      <c r="C61" s="1005"/>
      <c r="D61" s="966">
        <v>0</v>
      </c>
      <c r="E61" s="966">
        <v>177</v>
      </c>
      <c r="F61" s="966">
        <v>990</v>
      </c>
      <c r="G61" s="966">
        <v>3984</v>
      </c>
      <c r="H61" s="966">
        <v>11</v>
      </c>
      <c r="I61" s="966">
        <v>2919</v>
      </c>
      <c r="J61" s="1003">
        <f t="shared" si="10"/>
        <v>5310</v>
      </c>
      <c r="K61" s="1003">
        <f t="shared" si="10"/>
        <v>7903</v>
      </c>
      <c r="L61" s="1003">
        <f t="shared" si="12"/>
        <v>0</v>
      </c>
      <c r="M61" s="1005">
        <f t="shared" si="12"/>
        <v>0</v>
      </c>
    </row>
    <row r="62" spans="1:13" ht="12.75">
      <c r="A62" s="1011"/>
      <c r="B62" s="1011" t="s">
        <v>405</v>
      </c>
      <c r="C62" s="1005"/>
      <c r="D62" s="1005">
        <f aca="true" t="shared" si="15" ref="D62:I62">SUM(D55:D61)</f>
        <v>16717</v>
      </c>
      <c r="E62" s="1005">
        <f t="shared" si="15"/>
        <v>23449</v>
      </c>
      <c r="F62" s="1005">
        <f t="shared" si="15"/>
        <v>22455</v>
      </c>
      <c r="G62" s="1005">
        <f t="shared" si="15"/>
        <v>24446</v>
      </c>
      <c r="H62" s="1005">
        <f t="shared" si="15"/>
        <v>22685</v>
      </c>
      <c r="I62" s="1005">
        <f t="shared" si="15"/>
        <v>27994</v>
      </c>
      <c r="J62" s="1003">
        <f t="shared" si="10"/>
        <v>29593</v>
      </c>
      <c r="K62" s="1003">
        <f t="shared" si="10"/>
        <v>30077</v>
      </c>
      <c r="L62" s="1003">
        <f t="shared" si="12"/>
        <v>20862</v>
      </c>
      <c r="M62" s="1005">
        <f t="shared" si="12"/>
        <v>21832</v>
      </c>
    </row>
  </sheetData>
  <mergeCells count="10">
    <mergeCell ref="B5:J5"/>
    <mergeCell ref="B21:J21"/>
    <mergeCell ref="A2:M2"/>
    <mergeCell ref="K21:K22"/>
    <mergeCell ref="L21:L22"/>
    <mergeCell ref="A21:A22"/>
    <mergeCell ref="A19:L19"/>
    <mergeCell ref="A5:A6"/>
    <mergeCell ref="L5:L6"/>
    <mergeCell ref="M5:M6"/>
  </mergeCells>
  <printOptions horizontalCentered="1"/>
  <pageMargins left="0.7874015748031497" right="0.7874015748031497" top="0.5" bottom="0.47" header="0.23" footer="0.44"/>
  <pageSetup horizontalDpi="600" verticalDpi="600" orientation="landscape" paperSize="9" scale="76" r:id="rId2"/>
  <rowBreaks count="1" manualBreakCount="1">
    <brk id="50" max="12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186"/>
  <sheetViews>
    <sheetView zoomScale="75" zoomScaleNormal="75" zoomScaleSheetLayoutView="75" workbookViewId="0" topLeftCell="A2">
      <pane xSplit="8" ySplit="5" topLeftCell="I79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F28" sqref="F28"/>
    </sheetView>
  </sheetViews>
  <sheetFormatPr defaultColWidth="9.140625" defaultRowHeight="12.75"/>
  <cols>
    <col min="1" max="1" width="18.140625" style="381" customWidth="1"/>
    <col min="2" max="2" width="41.421875" style="328" customWidth="1"/>
    <col min="3" max="3" width="13.28125" style="367" customWidth="1"/>
    <col min="4" max="4" width="9.8515625" style="328" customWidth="1"/>
    <col min="5" max="5" width="11.421875" style="328" customWidth="1"/>
    <col min="6" max="6" width="10.7109375" style="328" customWidth="1"/>
    <col min="7" max="7" width="22.140625" style="382" customWidth="1"/>
    <col min="8" max="8" width="14.57421875" style="328" customWidth="1"/>
    <col min="9" max="9" width="8.140625" style="328" customWidth="1"/>
    <col min="10" max="16384" width="8.00390625" style="328" customWidth="1"/>
  </cols>
  <sheetData>
    <row r="1" spans="1:8" ht="24" customHeight="1">
      <c r="A1" s="1387" t="s">
        <v>716</v>
      </c>
      <c r="B1" s="1387"/>
      <c r="C1" s="1387"/>
      <c r="D1" s="1387"/>
      <c r="E1" s="1387"/>
      <c r="F1" s="1387"/>
      <c r="G1" s="1387"/>
      <c r="H1" s="1387"/>
    </row>
    <row r="2" spans="1:8" ht="12.75">
      <c r="A2" s="1387"/>
      <c r="B2" s="1387"/>
      <c r="C2" s="1387"/>
      <c r="D2" s="1387"/>
      <c r="E2" s="1387"/>
      <c r="F2" s="1387"/>
      <c r="G2" s="1387"/>
      <c r="H2" s="1387"/>
    </row>
    <row r="3" spans="1:8" ht="14.25" customHeight="1" thickBot="1">
      <c r="A3" s="1384"/>
      <c r="B3" s="1385"/>
      <c r="C3" s="1385"/>
      <c r="D3" s="1385"/>
      <c r="E3" s="1385"/>
      <c r="F3" s="329"/>
      <c r="G3" s="1386" t="s">
        <v>450</v>
      </c>
      <c r="H3" s="1386"/>
    </row>
    <row r="4" spans="1:8" s="330" customFormat="1" ht="26.25" customHeight="1" thickTop="1">
      <c r="A4" s="1388" t="s">
        <v>717</v>
      </c>
      <c r="B4" s="1391" t="s">
        <v>718</v>
      </c>
      <c r="C4" s="1394" t="s">
        <v>719</v>
      </c>
      <c r="D4" s="1382"/>
      <c r="E4" s="1382"/>
      <c r="F4" s="1383"/>
      <c r="G4" s="1397" t="s">
        <v>720</v>
      </c>
      <c r="H4" s="1400" t="s">
        <v>721</v>
      </c>
    </row>
    <row r="5" spans="1:8" s="331" customFormat="1" ht="32.25" customHeight="1">
      <c r="A5" s="1389"/>
      <c r="B5" s="1392"/>
      <c r="C5" s="1395"/>
      <c r="D5" s="1403" t="s">
        <v>663</v>
      </c>
      <c r="E5" s="1403" t="s">
        <v>722</v>
      </c>
      <c r="F5" s="1403" t="s">
        <v>723</v>
      </c>
      <c r="G5" s="1398"/>
      <c r="H5" s="1401"/>
    </row>
    <row r="6" spans="1:8" s="332" customFormat="1" ht="18" customHeight="1" thickBot="1">
      <c r="A6" s="1390"/>
      <c r="B6" s="1393"/>
      <c r="C6" s="1396"/>
      <c r="D6" s="1404"/>
      <c r="E6" s="1396"/>
      <c r="F6" s="1396"/>
      <c r="G6" s="1399"/>
      <c r="H6" s="1402"/>
    </row>
    <row r="7" spans="1:8" s="332" customFormat="1" ht="16.5" customHeight="1" thickTop="1">
      <c r="A7" s="1410" t="s">
        <v>724</v>
      </c>
      <c r="B7" s="1411"/>
      <c r="C7" s="1412"/>
      <c r="D7" s="1411"/>
      <c r="E7" s="1411"/>
      <c r="F7" s="1411"/>
      <c r="G7" s="1411"/>
      <c r="H7" s="1413"/>
    </row>
    <row r="8" spans="1:8" ht="51">
      <c r="A8" s="333" t="s">
        <v>725</v>
      </c>
      <c r="B8" s="334" t="s">
        <v>726</v>
      </c>
      <c r="C8" s="335">
        <v>2576084</v>
      </c>
      <c r="D8" s="336">
        <v>829000</v>
      </c>
      <c r="E8" s="336">
        <v>808042</v>
      </c>
      <c r="F8" s="336">
        <v>408042</v>
      </c>
      <c r="G8" s="337" t="s">
        <v>727</v>
      </c>
      <c r="H8" s="338">
        <v>2576084</v>
      </c>
    </row>
    <row r="9" spans="1:8" ht="38.25">
      <c r="A9" s="333" t="s">
        <v>728</v>
      </c>
      <c r="B9" s="337" t="s">
        <v>729</v>
      </c>
      <c r="C9" s="335"/>
      <c r="D9" s="336"/>
      <c r="E9" s="339">
        <v>18321</v>
      </c>
      <c r="F9" s="339"/>
      <c r="G9" s="337" t="s">
        <v>730</v>
      </c>
      <c r="H9" s="338"/>
    </row>
    <row r="10" spans="1:8" ht="15.75">
      <c r="A10" s="1414" t="s">
        <v>614</v>
      </c>
      <c r="B10" s="1415"/>
      <c r="C10" s="1415"/>
      <c r="D10" s="1416"/>
      <c r="E10" s="340">
        <f>SUM(E8:E9)</f>
        <v>826363</v>
      </c>
      <c r="F10" s="340">
        <f>SUM(F8:F9)</f>
        <v>408042</v>
      </c>
      <c r="G10" s="337"/>
      <c r="H10" s="338"/>
    </row>
    <row r="11" spans="1:8" ht="16.5" customHeight="1">
      <c r="A11" s="1405" t="s">
        <v>731</v>
      </c>
      <c r="B11" s="1406"/>
      <c r="C11" s="1407"/>
      <c r="D11" s="1408"/>
      <c r="E11" s="1408"/>
      <c r="F11" s="1408"/>
      <c r="G11" s="1408"/>
      <c r="H11" s="1409"/>
    </row>
    <row r="12" spans="1:8" ht="63.75">
      <c r="A12" s="341" t="s">
        <v>732</v>
      </c>
      <c r="B12" s="337" t="s">
        <v>130</v>
      </c>
      <c r="C12" s="342">
        <v>183000</v>
      </c>
      <c r="D12" s="343">
        <v>26000</v>
      </c>
      <c r="E12" s="343">
        <v>22000</v>
      </c>
      <c r="F12" s="343">
        <v>111000</v>
      </c>
      <c r="G12" s="337" t="s">
        <v>733</v>
      </c>
      <c r="H12" s="338">
        <v>183000</v>
      </c>
    </row>
    <row r="13" spans="1:8" s="350" customFormat="1" ht="76.5">
      <c r="A13" s="344" t="s">
        <v>734</v>
      </c>
      <c r="B13" s="345" t="s">
        <v>735</v>
      </c>
      <c r="C13" s="346">
        <f>3*34500</f>
        <v>103500</v>
      </c>
      <c r="D13" s="347">
        <v>34500</v>
      </c>
      <c r="E13" s="347">
        <v>34500</v>
      </c>
      <c r="F13" s="347"/>
      <c r="G13" s="348" t="s">
        <v>736</v>
      </c>
      <c r="H13" s="349">
        <v>103500</v>
      </c>
    </row>
    <row r="14" spans="1:8" ht="89.25">
      <c r="A14" s="341" t="s">
        <v>737</v>
      </c>
      <c r="B14" s="345" t="s">
        <v>738</v>
      </c>
      <c r="C14" s="347">
        <v>5400</v>
      </c>
      <c r="D14" s="347">
        <v>1800</v>
      </c>
      <c r="E14" s="347">
        <v>1800</v>
      </c>
      <c r="F14" s="347">
        <v>1800</v>
      </c>
      <c r="G14" s="348" t="s">
        <v>739</v>
      </c>
      <c r="H14" s="351">
        <v>5400</v>
      </c>
    </row>
    <row r="15" spans="1:8" ht="76.5">
      <c r="A15" s="341" t="s">
        <v>740</v>
      </c>
      <c r="B15" s="345" t="s">
        <v>741</v>
      </c>
      <c r="C15" s="346">
        <v>19000</v>
      </c>
      <c r="D15" s="347"/>
      <c r="E15" s="347">
        <v>9500</v>
      </c>
      <c r="F15" s="347">
        <v>9500</v>
      </c>
      <c r="G15" s="348" t="s">
        <v>742</v>
      </c>
      <c r="H15" s="349">
        <v>19000</v>
      </c>
    </row>
    <row r="16" spans="1:8" ht="75" customHeight="1">
      <c r="A16" s="341" t="s">
        <v>740</v>
      </c>
      <c r="B16" s="345" t="s">
        <v>743</v>
      </c>
      <c r="C16" s="346">
        <v>4800</v>
      </c>
      <c r="D16" s="347"/>
      <c r="E16" s="347">
        <v>2400</v>
      </c>
      <c r="F16" s="347">
        <v>2400</v>
      </c>
      <c r="G16" s="348" t="s">
        <v>742</v>
      </c>
      <c r="H16" s="349">
        <v>4800</v>
      </c>
    </row>
    <row r="17" spans="1:8" ht="51">
      <c r="A17" s="341" t="s">
        <v>740</v>
      </c>
      <c r="B17" s="345" t="s">
        <v>744</v>
      </c>
      <c r="C17" s="342">
        <v>42001</v>
      </c>
      <c r="D17" s="347"/>
      <c r="E17" s="352"/>
      <c r="F17" s="352">
        <v>42001</v>
      </c>
      <c r="G17" s="348" t="s">
        <v>745</v>
      </c>
      <c r="H17" s="351">
        <v>42001</v>
      </c>
    </row>
    <row r="18" spans="1:8" ht="63.75">
      <c r="A18" s="341" t="s">
        <v>746</v>
      </c>
      <c r="B18" s="345" t="s">
        <v>747</v>
      </c>
      <c r="C18" s="342">
        <v>320000</v>
      </c>
      <c r="D18" s="347"/>
      <c r="E18" s="352">
        <v>320000</v>
      </c>
      <c r="F18" s="352">
        <v>320000</v>
      </c>
      <c r="G18" s="348" t="s">
        <v>748</v>
      </c>
      <c r="H18" s="351"/>
    </row>
    <row r="19" spans="1:8" ht="63.75" customHeight="1">
      <c r="A19" s="341" t="s">
        <v>0</v>
      </c>
      <c r="B19" s="345" t="s">
        <v>136</v>
      </c>
      <c r="C19" s="342">
        <v>81427</v>
      </c>
      <c r="D19" s="347"/>
      <c r="E19" s="352">
        <v>81427</v>
      </c>
      <c r="F19" s="352"/>
      <c r="G19" s="348" t="s">
        <v>1</v>
      </c>
      <c r="H19" s="351">
        <v>81427</v>
      </c>
    </row>
    <row r="20" spans="1:8" ht="80.25" customHeight="1">
      <c r="A20" s="341" t="s">
        <v>0</v>
      </c>
      <c r="B20" s="345" t="s">
        <v>8</v>
      </c>
      <c r="C20" s="342">
        <v>300</v>
      </c>
      <c r="D20" s="347"/>
      <c r="E20" s="352">
        <v>300</v>
      </c>
      <c r="F20" s="352"/>
      <c r="G20" s="348" t="s">
        <v>1</v>
      </c>
      <c r="H20" s="351">
        <v>300</v>
      </c>
    </row>
    <row r="21" spans="1:8" ht="63.75" customHeight="1">
      <c r="A21" s="341" t="s">
        <v>9</v>
      </c>
      <c r="B21" s="345" t="s">
        <v>137</v>
      </c>
      <c r="C21" s="342">
        <v>3382</v>
      </c>
      <c r="D21" s="347"/>
      <c r="E21" s="352">
        <v>3382</v>
      </c>
      <c r="F21" s="352"/>
      <c r="G21" s="348" t="s">
        <v>1</v>
      </c>
      <c r="H21" s="351">
        <v>3382</v>
      </c>
    </row>
    <row r="22" spans="1:8" ht="72" customHeight="1">
      <c r="A22" s="341" t="s">
        <v>9</v>
      </c>
      <c r="B22" s="345" t="s">
        <v>10</v>
      </c>
      <c r="C22" s="342">
        <v>300</v>
      </c>
      <c r="D22" s="347"/>
      <c r="E22" s="352">
        <v>300</v>
      </c>
      <c r="F22" s="352"/>
      <c r="G22" s="348" t="s">
        <v>1</v>
      </c>
      <c r="H22" s="351">
        <v>300</v>
      </c>
    </row>
    <row r="23" spans="1:8" ht="63.75" customHeight="1">
      <c r="A23" s="341" t="s">
        <v>11</v>
      </c>
      <c r="B23" s="345" t="s">
        <v>138</v>
      </c>
      <c r="C23" s="342">
        <v>3396</v>
      </c>
      <c r="D23" s="347"/>
      <c r="E23" s="352">
        <v>3396</v>
      </c>
      <c r="F23" s="352"/>
      <c r="G23" s="348" t="s">
        <v>1</v>
      </c>
      <c r="H23" s="351">
        <v>3396</v>
      </c>
    </row>
    <row r="24" spans="1:8" ht="75.75" customHeight="1">
      <c r="A24" s="341" t="s">
        <v>11</v>
      </c>
      <c r="B24" s="345" t="s">
        <v>12</v>
      </c>
      <c r="C24" s="342">
        <v>300</v>
      </c>
      <c r="D24" s="347"/>
      <c r="E24" s="352">
        <v>300</v>
      </c>
      <c r="F24" s="352"/>
      <c r="G24" s="348" t="s">
        <v>1</v>
      </c>
      <c r="H24" s="351">
        <v>300</v>
      </c>
    </row>
    <row r="25" spans="1:8" ht="63.75" customHeight="1">
      <c r="A25" s="341" t="s">
        <v>13</v>
      </c>
      <c r="B25" s="345" t="s">
        <v>139</v>
      </c>
      <c r="C25" s="342">
        <v>44116</v>
      </c>
      <c r="D25" s="347"/>
      <c r="E25" s="352">
        <v>44116</v>
      </c>
      <c r="F25" s="352"/>
      <c r="G25" s="348" t="s">
        <v>1</v>
      </c>
      <c r="H25" s="351">
        <v>44116</v>
      </c>
    </row>
    <row r="26" spans="1:8" ht="75.75" customHeight="1">
      <c r="A26" s="341" t="s">
        <v>13</v>
      </c>
      <c r="B26" s="345" t="s">
        <v>14</v>
      </c>
      <c r="C26" s="342">
        <v>300</v>
      </c>
      <c r="D26" s="347"/>
      <c r="E26" s="352">
        <v>300</v>
      </c>
      <c r="F26" s="352"/>
      <c r="G26" s="348" t="s">
        <v>1</v>
      </c>
      <c r="H26" s="351">
        <v>300</v>
      </c>
    </row>
    <row r="27" spans="1:8" ht="63.75" customHeight="1">
      <c r="A27" s="341" t="s">
        <v>15</v>
      </c>
      <c r="B27" s="345" t="s">
        <v>140</v>
      </c>
      <c r="C27" s="342">
        <v>2604</v>
      </c>
      <c r="D27" s="347"/>
      <c r="E27" s="352">
        <v>2604</v>
      </c>
      <c r="F27" s="352"/>
      <c r="G27" s="348" t="s">
        <v>1</v>
      </c>
      <c r="H27" s="351">
        <v>2064</v>
      </c>
    </row>
    <row r="28" spans="1:8" ht="77.25" customHeight="1">
      <c r="A28" s="341" t="s">
        <v>15</v>
      </c>
      <c r="B28" s="345" t="s">
        <v>16</v>
      </c>
      <c r="C28" s="342">
        <v>300</v>
      </c>
      <c r="D28" s="347"/>
      <c r="E28" s="352">
        <v>300</v>
      </c>
      <c r="F28" s="352"/>
      <c r="G28" s="348" t="s">
        <v>1</v>
      </c>
      <c r="H28" s="351">
        <v>300</v>
      </c>
    </row>
    <row r="29" spans="1:8" ht="63.75" customHeight="1">
      <c r="A29" s="341" t="s">
        <v>17</v>
      </c>
      <c r="B29" s="345" t="s">
        <v>141</v>
      </c>
      <c r="C29" s="342">
        <v>6412</v>
      </c>
      <c r="D29" s="347"/>
      <c r="E29" s="352">
        <v>6412</v>
      </c>
      <c r="F29" s="352"/>
      <c r="G29" s="348" t="s">
        <v>1</v>
      </c>
      <c r="H29" s="351">
        <v>6412</v>
      </c>
    </row>
    <row r="30" spans="1:8" ht="81.75" customHeight="1">
      <c r="A30" s="341" t="s">
        <v>17</v>
      </c>
      <c r="B30" s="345" t="s">
        <v>18</v>
      </c>
      <c r="C30" s="342">
        <v>300</v>
      </c>
      <c r="D30" s="347"/>
      <c r="E30" s="352">
        <v>300</v>
      </c>
      <c r="F30" s="352"/>
      <c r="G30" s="348" t="s">
        <v>1</v>
      </c>
      <c r="H30" s="351">
        <v>300</v>
      </c>
    </row>
    <row r="31" spans="1:8" ht="76.5">
      <c r="A31" s="341" t="s">
        <v>19</v>
      </c>
      <c r="B31" s="345" t="s">
        <v>20</v>
      </c>
      <c r="C31" s="346">
        <v>9317</v>
      </c>
      <c r="D31" s="347"/>
      <c r="E31" s="347">
        <v>9317</v>
      </c>
      <c r="F31" s="347"/>
      <c r="G31" s="348" t="s">
        <v>21</v>
      </c>
      <c r="H31" s="349">
        <v>9317</v>
      </c>
    </row>
    <row r="32" spans="1:8" ht="89.25">
      <c r="A32" s="341" t="s">
        <v>19</v>
      </c>
      <c r="B32" s="345" t="s">
        <v>22</v>
      </c>
      <c r="C32" s="346">
        <v>300</v>
      </c>
      <c r="D32" s="347"/>
      <c r="E32" s="347">
        <v>300</v>
      </c>
      <c r="F32" s="347"/>
      <c r="G32" s="348" t="s">
        <v>21</v>
      </c>
      <c r="H32" s="349">
        <v>300</v>
      </c>
    </row>
    <row r="33" spans="1:8" ht="76.5">
      <c r="A33" s="341" t="s">
        <v>23</v>
      </c>
      <c r="B33" s="345" t="s">
        <v>24</v>
      </c>
      <c r="C33" s="346">
        <v>1502</v>
      </c>
      <c r="D33" s="347"/>
      <c r="E33" s="347">
        <v>1502</v>
      </c>
      <c r="F33" s="347"/>
      <c r="G33" s="348" t="s">
        <v>21</v>
      </c>
      <c r="H33" s="349">
        <v>1502</v>
      </c>
    </row>
    <row r="34" spans="1:8" ht="89.25">
      <c r="A34" s="341" t="s">
        <v>23</v>
      </c>
      <c r="B34" s="345" t="s">
        <v>25</v>
      </c>
      <c r="C34" s="346">
        <v>300</v>
      </c>
      <c r="D34" s="347"/>
      <c r="E34" s="347">
        <v>300</v>
      </c>
      <c r="F34" s="347"/>
      <c r="G34" s="348" t="s">
        <v>26</v>
      </c>
      <c r="H34" s="349">
        <v>300</v>
      </c>
    </row>
    <row r="35" spans="1:8" ht="76.5">
      <c r="A35" s="341" t="s">
        <v>27</v>
      </c>
      <c r="B35" s="345" t="s">
        <v>28</v>
      </c>
      <c r="C35" s="346">
        <v>1659</v>
      </c>
      <c r="D35" s="347"/>
      <c r="E35" s="347">
        <v>1659</v>
      </c>
      <c r="F35" s="347"/>
      <c r="G35" s="348" t="s">
        <v>21</v>
      </c>
      <c r="H35" s="349">
        <v>1659</v>
      </c>
    </row>
    <row r="36" spans="1:8" ht="89.25">
      <c r="A36" s="341" t="s">
        <v>27</v>
      </c>
      <c r="B36" s="345" t="s">
        <v>29</v>
      </c>
      <c r="C36" s="346">
        <v>300</v>
      </c>
      <c r="D36" s="346"/>
      <c r="E36" s="347">
        <v>300</v>
      </c>
      <c r="F36" s="353"/>
      <c r="G36" s="348" t="s">
        <v>21</v>
      </c>
      <c r="H36" s="349">
        <v>300</v>
      </c>
    </row>
    <row r="37" spans="1:8" ht="77.25" customHeight="1">
      <c r="A37" s="341" t="s">
        <v>30</v>
      </c>
      <c r="B37" s="345" t="s">
        <v>31</v>
      </c>
      <c r="C37" s="346">
        <v>16549</v>
      </c>
      <c r="D37" s="347"/>
      <c r="E37" s="347">
        <v>16549</v>
      </c>
      <c r="F37" s="347"/>
      <c r="G37" s="348" t="s">
        <v>730</v>
      </c>
      <c r="H37" s="349">
        <v>16549</v>
      </c>
    </row>
    <row r="38" spans="1:8" ht="89.25">
      <c r="A38" s="341" t="s">
        <v>32</v>
      </c>
      <c r="B38" s="345" t="s">
        <v>39</v>
      </c>
      <c r="C38" s="346">
        <v>300</v>
      </c>
      <c r="D38" s="347"/>
      <c r="E38" s="347">
        <v>300</v>
      </c>
      <c r="F38" s="347"/>
      <c r="G38" s="348" t="s">
        <v>730</v>
      </c>
      <c r="H38" s="349">
        <v>300</v>
      </c>
    </row>
    <row r="39" spans="1:8" ht="89.25">
      <c r="A39" s="341" t="s">
        <v>40</v>
      </c>
      <c r="B39" s="345" t="s">
        <v>41</v>
      </c>
      <c r="C39" s="346">
        <v>19230</v>
      </c>
      <c r="D39" s="347"/>
      <c r="E39" s="347">
        <v>19230</v>
      </c>
      <c r="F39" s="347"/>
      <c r="G39" s="348" t="s">
        <v>730</v>
      </c>
      <c r="H39" s="349">
        <v>19230</v>
      </c>
    </row>
    <row r="40" spans="1:8" ht="89.25">
      <c r="A40" s="341" t="s">
        <v>40</v>
      </c>
      <c r="B40" s="345" t="s">
        <v>42</v>
      </c>
      <c r="C40" s="346">
        <v>300</v>
      </c>
      <c r="D40" s="347"/>
      <c r="E40" s="347">
        <v>300</v>
      </c>
      <c r="F40" s="347"/>
      <c r="G40" s="348" t="s">
        <v>730</v>
      </c>
      <c r="H40" s="349">
        <v>300</v>
      </c>
    </row>
    <row r="41" spans="1:8" ht="89.25">
      <c r="A41" s="341" t="s">
        <v>43</v>
      </c>
      <c r="B41" s="345" t="s">
        <v>44</v>
      </c>
      <c r="C41" s="346">
        <v>22656</v>
      </c>
      <c r="D41" s="347"/>
      <c r="E41" s="347">
        <v>22656</v>
      </c>
      <c r="F41" s="347"/>
      <c r="G41" s="348" t="s">
        <v>730</v>
      </c>
      <c r="H41" s="349">
        <v>22656</v>
      </c>
    </row>
    <row r="42" spans="1:8" ht="89.25">
      <c r="A42" s="341" t="s">
        <v>43</v>
      </c>
      <c r="B42" s="345" t="s">
        <v>45</v>
      </c>
      <c r="C42" s="346">
        <v>300</v>
      </c>
      <c r="D42" s="347"/>
      <c r="E42" s="347">
        <v>300</v>
      </c>
      <c r="F42" s="347"/>
      <c r="G42" s="348" t="s">
        <v>730</v>
      </c>
      <c r="H42" s="349">
        <v>300</v>
      </c>
    </row>
    <row r="43" spans="1:8" ht="89.25">
      <c r="A43" s="341" t="s">
        <v>46</v>
      </c>
      <c r="B43" s="345" t="s">
        <v>47</v>
      </c>
      <c r="C43" s="346">
        <v>17575</v>
      </c>
      <c r="D43" s="347"/>
      <c r="E43" s="347">
        <v>17575</v>
      </c>
      <c r="F43" s="347"/>
      <c r="G43" s="348" t="s">
        <v>730</v>
      </c>
      <c r="H43" s="349">
        <v>17575</v>
      </c>
    </row>
    <row r="44" spans="1:8" ht="89.25">
      <c r="A44" s="341" t="s">
        <v>46</v>
      </c>
      <c r="B44" s="345" t="s">
        <v>48</v>
      </c>
      <c r="C44" s="346">
        <v>300</v>
      </c>
      <c r="D44" s="347"/>
      <c r="E44" s="347">
        <v>300</v>
      </c>
      <c r="F44" s="347"/>
      <c r="G44" s="348" t="s">
        <v>730</v>
      </c>
      <c r="H44" s="349">
        <v>300</v>
      </c>
    </row>
    <row r="45" spans="1:8" ht="89.25">
      <c r="A45" s="341" t="s">
        <v>49</v>
      </c>
      <c r="B45" s="345" t="s">
        <v>50</v>
      </c>
      <c r="C45" s="346">
        <v>69398</v>
      </c>
      <c r="D45" s="347"/>
      <c r="E45" s="346">
        <v>69398</v>
      </c>
      <c r="F45" s="347"/>
      <c r="G45" s="348" t="s">
        <v>730</v>
      </c>
      <c r="H45" s="349">
        <v>69398</v>
      </c>
    </row>
    <row r="46" spans="1:8" ht="89.25">
      <c r="A46" s="341" t="s">
        <v>49</v>
      </c>
      <c r="B46" s="345" t="s">
        <v>51</v>
      </c>
      <c r="C46" s="346">
        <v>300</v>
      </c>
      <c r="D46" s="347"/>
      <c r="E46" s="347">
        <v>300</v>
      </c>
      <c r="F46" s="347"/>
      <c r="G46" s="348" t="s">
        <v>730</v>
      </c>
      <c r="H46" s="349">
        <v>300</v>
      </c>
    </row>
    <row r="47" spans="1:8" ht="38.25">
      <c r="A47" s="341" t="s">
        <v>52</v>
      </c>
      <c r="B47" s="345" t="s">
        <v>53</v>
      </c>
      <c r="C47" s="346" t="s">
        <v>54</v>
      </c>
      <c r="D47" s="347"/>
      <c r="E47" s="347"/>
      <c r="F47" s="347"/>
      <c r="G47" s="348" t="s">
        <v>54</v>
      </c>
      <c r="H47" s="349"/>
    </row>
    <row r="48" spans="1:8" ht="15.75">
      <c r="A48" s="1414" t="s">
        <v>614</v>
      </c>
      <c r="B48" s="1415"/>
      <c r="C48" s="1415"/>
      <c r="D48" s="1416"/>
      <c r="E48" s="354">
        <f>SUM(E12:E47)</f>
        <v>693623</v>
      </c>
      <c r="F48" s="354">
        <f>SUM(F12:F47)</f>
        <v>486701</v>
      </c>
      <c r="G48" s="348"/>
      <c r="H48" s="349"/>
    </row>
    <row r="49" spans="1:8" s="350" customFormat="1" ht="28.5" customHeight="1">
      <c r="A49" s="355" t="s">
        <v>55</v>
      </c>
      <c r="B49" s="356" t="s">
        <v>56</v>
      </c>
      <c r="C49" s="346">
        <v>12000</v>
      </c>
      <c r="D49" s="357"/>
      <c r="E49" s="357">
        <v>12000</v>
      </c>
      <c r="F49" s="357"/>
      <c r="G49" s="358" t="s">
        <v>730</v>
      </c>
      <c r="H49" s="349">
        <v>12000</v>
      </c>
    </row>
    <row r="50" spans="1:8" s="350" customFormat="1" ht="49.5" customHeight="1">
      <c r="A50" s="355" t="s">
        <v>57</v>
      </c>
      <c r="B50" s="356" t="s">
        <v>58</v>
      </c>
      <c r="C50" s="346">
        <v>13500</v>
      </c>
      <c r="D50" s="357">
        <v>6000</v>
      </c>
      <c r="E50" s="357">
        <v>7500</v>
      </c>
      <c r="F50" s="357"/>
      <c r="G50" s="358" t="s">
        <v>59</v>
      </c>
      <c r="H50" s="349">
        <v>13500</v>
      </c>
    </row>
    <row r="51" spans="1:8" s="350" customFormat="1" ht="49.5" customHeight="1">
      <c r="A51" s="355" t="s">
        <v>60</v>
      </c>
      <c r="B51" s="356" t="s">
        <v>61</v>
      </c>
      <c r="C51" s="346"/>
      <c r="D51" s="357"/>
      <c r="E51" s="357">
        <v>3963</v>
      </c>
      <c r="F51" s="357"/>
      <c r="G51" s="358" t="s">
        <v>62</v>
      </c>
      <c r="H51" s="349"/>
    </row>
    <row r="52" spans="1:8" ht="15.75">
      <c r="A52" s="1414" t="s">
        <v>614</v>
      </c>
      <c r="B52" s="1415"/>
      <c r="C52" s="1415"/>
      <c r="D52" s="1416"/>
      <c r="E52" s="359">
        <f>SUM(E49:E51)</f>
        <v>23463</v>
      </c>
      <c r="F52" s="359">
        <f>SUM(F49:F51)</f>
        <v>0</v>
      </c>
      <c r="G52" s="360"/>
      <c r="H52" s="361"/>
    </row>
    <row r="53" spans="1:8" ht="22.5" customHeight="1">
      <c r="A53" s="1422" t="s">
        <v>63</v>
      </c>
      <c r="B53" s="1406"/>
      <c r="C53" s="1407"/>
      <c r="D53" s="1408"/>
      <c r="E53" s="1408"/>
      <c r="F53" s="1408"/>
      <c r="G53" s="1408"/>
      <c r="H53" s="1409"/>
    </row>
    <row r="54" spans="1:8" ht="51">
      <c r="A54" s="333" t="s">
        <v>64</v>
      </c>
      <c r="B54" s="334" t="s">
        <v>143</v>
      </c>
      <c r="C54" s="342">
        <v>1500</v>
      </c>
      <c r="D54" s="343">
        <v>500</v>
      </c>
      <c r="E54" s="343">
        <v>500</v>
      </c>
      <c r="F54" s="343"/>
      <c r="G54" s="337" t="s">
        <v>65</v>
      </c>
      <c r="H54" s="351">
        <v>1500</v>
      </c>
    </row>
    <row r="55" spans="1:8" ht="76.5">
      <c r="A55" s="333" t="s">
        <v>740</v>
      </c>
      <c r="B55" s="334" t="s">
        <v>144</v>
      </c>
      <c r="C55" s="342">
        <v>3000</v>
      </c>
      <c r="D55" s="343">
        <v>1000</v>
      </c>
      <c r="E55" s="343">
        <v>1000</v>
      </c>
      <c r="F55" s="343"/>
      <c r="G55" s="337" t="s">
        <v>65</v>
      </c>
      <c r="H55" s="351">
        <v>3000</v>
      </c>
    </row>
    <row r="56" spans="1:8" ht="40.5" customHeight="1">
      <c r="A56" s="333" t="s">
        <v>66</v>
      </c>
      <c r="B56" s="334" t="s">
        <v>145</v>
      </c>
      <c r="C56" s="342" t="s">
        <v>67</v>
      </c>
      <c r="D56" s="362" t="s">
        <v>68</v>
      </c>
      <c r="E56" s="362">
        <v>4000</v>
      </c>
      <c r="F56" s="343"/>
      <c r="G56" s="337" t="s">
        <v>69</v>
      </c>
      <c r="H56" s="351" t="s">
        <v>70</v>
      </c>
    </row>
    <row r="57" spans="1:8" ht="25.5">
      <c r="A57" s="333" t="s">
        <v>71</v>
      </c>
      <c r="B57" s="334" t="s">
        <v>72</v>
      </c>
      <c r="C57" s="342">
        <v>1500</v>
      </c>
      <c r="D57" s="352">
        <v>500</v>
      </c>
      <c r="E57" s="352">
        <v>500</v>
      </c>
      <c r="F57" s="352">
        <v>500</v>
      </c>
      <c r="G57" s="337" t="s">
        <v>73</v>
      </c>
      <c r="H57" s="351">
        <v>1500</v>
      </c>
    </row>
    <row r="58" spans="1:8" ht="38.25">
      <c r="A58" s="333" t="s">
        <v>740</v>
      </c>
      <c r="B58" s="334" t="s">
        <v>74</v>
      </c>
      <c r="C58" s="342">
        <v>3000</v>
      </c>
      <c r="D58" s="352">
        <v>1000</v>
      </c>
      <c r="E58" s="352">
        <v>1000</v>
      </c>
      <c r="F58" s="352">
        <v>1000</v>
      </c>
      <c r="G58" s="337" t="s">
        <v>73</v>
      </c>
      <c r="H58" s="351">
        <v>3000</v>
      </c>
    </row>
    <row r="59" spans="1:8" ht="38.25">
      <c r="A59" s="333" t="s">
        <v>75</v>
      </c>
      <c r="B59" s="334" t="s">
        <v>78</v>
      </c>
      <c r="C59" s="342">
        <v>300</v>
      </c>
      <c r="D59" s="352">
        <v>300</v>
      </c>
      <c r="E59" s="343"/>
      <c r="F59" s="343"/>
      <c r="G59" s="337" t="s">
        <v>59</v>
      </c>
      <c r="H59" s="351">
        <v>300</v>
      </c>
    </row>
    <row r="60" spans="1:8" ht="15.75">
      <c r="A60" s="1414" t="s">
        <v>614</v>
      </c>
      <c r="B60" s="1415"/>
      <c r="C60" s="1415"/>
      <c r="D60" s="1416"/>
      <c r="E60" s="363">
        <f>SUM(E54:E59)</f>
        <v>7000</v>
      </c>
      <c r="F60" s="363">
        <f>SUM(F54:F59)</f>
        <v>1500</v>
      </c>
      <c r="G60" s="337"/>
      <c r="H60" s="351"/>
    </row>
    <row r="61" spans="1:8" ht="19.5" customHeight="1">
      <c r="A61" s="1422" t="s">
        <v>79</v>
      </c>
      <c r="B61" s="1406"/>
      <c r="C61" s="1407"/>
      <c r="D61" s="1408"/>
      <c r="E61" s="1408"/>
      <c r="F61" s="1408"/>
      <c r="G61" s="1408"/>
      <c r="H61" s="1409"/>
    </row>
    <row r="62" spans="1:8" ht="76.5">
      <c r="A62" s="333" t="s">
        <v>86</v>
      </c>
      <c r="B62" s="364" t="s">
        <v>146</v>
      </c>
      <c r="C62" s="365" t="s">
        <v>87</v>
      </c>
      <c r="D62" s="352">
        <v>1000</v>
      </c>
      <c r="E62" s="352">
        <v>1000</v>
      </c>
      <c r="F62" s="366"/>
      <c r="G62" s="337" t="s">
        <v>88</v>
      </c>
      <c r="H62" s="361" t="s">
        <v>87</v>
      </c>
    </row>
    <row r="63" spans="1:8" ht="25.5">
      <c r="A63" s="341" t="s">
        <v>89</v>
      </c>
      <c r="B63" s="334" t="s">
        <v>90</v>
      </c>
      <c r="C63" s="342">
        <v>100000</v>
      </c>
      <c r="D63" s="343">
        <v>20000</v>
      </c>
      <c r="E63" s="343">
        <v>20000</v>
      </c>
      <c r="F63" s="343"/>
      <c r="G63" s="337" t="s">
        <v>91</v>
      </c>
      <c r="H63" s="351">
        <v>100000</v>
      </c>
    </row>
    <row r="64" spans="1:8" ht="51">
      <c r="A64" s="333" t="s">
        <v>92</v>
      </c>
      <c r="B64" s="337" t="s">
        <v>147</v>
      </c>
      <c r="C64" s="367">
        <v>84296</v>
      </c>
      <c r="D64" s="368"/>
      <c r="E64" s="368">
        <v>84296</v>
      </c>
      <c r="F64" s="368"/>
      <c r="G64" s="353" t="s">
        <v>730</v>
      </c>
      <c r="H64" s="369">
        <v>84296</v>
      </c>
    </row>
    <row r="65" spans="1:8" s="350" customFormat="1" ht="89.25">
      <c r="A65" s="355" t="s">
        <v>93</v>
      </c>
      <c r="B65" s="356" t="s">
        <v>148</v>
      </c>
      <c r="C65" s="346">
        <v>233568</v>
      </c>
      <c r="D65" s="357">
        <v>14738</v>
      </c>
      <c r="E65" s="357">
        <v>108554</v>
      </c>
      <c r="F65" s="357">
        <v>110276</v>
      </c>
      <c r="G65" s="370" t="s">
        <v>94</v>
      </c>
      <c r="H65" s="349">
        <v>233568</v>
      </c>
    </row>
    <row r="66" spans="1:8" s="350" customFormat="1" ht="89.25">
      <c r="A66" s="355" t="s">
        <v>740</v>
      </c>
      <c r="B66" s="356" t="s">
        <v>149</v>
      </c>
      <c r="C66" s="346">
        <v>128833</v>
      </c>
      <c r="D66" s="357">
        <v>9098</v>
      </c>
      <c r="E66" s="357">
        <v>119735</v>
      </c>
      <c r="F66" s="357"/>
      <c r="G66" s="370" t="s">
        <v>94</v>
      </c>
      <c r="H66" s="349">
        <v>128833</v>
      </c>
    </row>
    <row r="67" spans="1:8" s="350" customFormat="1" ht="76.5">
      <c r="A67" s="355" t="s">
        <v>95</v>
      </c>
      <c r="B67" s="356" t="s">
        <v>150</v>
      </c>
      <c r="C67" s="346">
        <v>168727</v>
      </c>
      <c r="D67" s="357">
        <v>18356</v>
      </c>
      <c r="E67" s="357">
        <f>90000+60371</f>
        <v>150371</v>
      </c>
      <c r="F67" s="357"/>
      <c r="G67" s="370" t="s">
        <v>94</v>
      </c>
      <c r="H67" s="349">
        <v>168727</v>
      </c>
    </row>
    <row r="68" spans="1:8" ht="76.5">
      <c r="A68" s="333" t="s">
        <v>96</v>
      </c>
      <c r="B68" s="371" t="s">
        <v>151</v>
      </c>
      <c r="C68" s="335">
        <f>44351+28314</f>
        <v>72665</v>
      </c>
      <c r="D68" s="368">
        <v>10798</v>
      </c>
      <c r="E68" s="368">
        <v>43843</v>
      </c>
      <c r="F68" s="368"/>
      <c r="G68" s="353" t="s">
        <v>97</v>
      </c>
      <c r="H68" s="338">
        <v>72665</v>
      </c>
    </row>
    <row r="69" spans="1:8" ht="76.5">
      <c r="A69" s="372" t="s">
        <v>98</v>
      </c>
      <c r="B69" s="339" t="s">
        <v>99</v>
      </c>
      <c r="C69" s="367">
        <v>48591</v>
      </c>
      <c r="D69" s="368">
        <v>30474</v>
      </c>
      <c r="E69" s="368">
        <v>18117</v>
      </c>
      <c r="F69" s="368"/>
      <c r="G69" s="353" t="s">
        <v>100</v>
      </c>
      <c r="H69" s="369">
        <v>48591</v>
      </c>
    </row>
    <row r="70" spans="1:8" ht="76.5">
      <c r="A70" s="372" t="s">
        <v>101</v>
      </c>
      <c r="B70" s="339" t="s">
        <v>102</v>
      </c>
      <c r="C70" s="367">
        <v>26104</v>
      </c>
      <c r="D70" s="368">
        <v>9188</v>
      </c>
      <c r="E70" s="368">
        <v>16916</v>
      </c>
      <c r="F70" s="368"/>
      <c r="G70" s="353" t="s">
        <v>100</v>
      </c>
      <c r="H70" s="369">
        <v>26104</v>
      </c>
    </row>
    <row r="71" spans="1:8" ht="63.75">
      <c r="A71" s="372" t="s">
        <v>103</v>
      </c>
      <c r="B71" s="339" t="s">
        <v>104</v>
      </c>
      <c r="C71" s="367">
        <v>19031</v>
      </c>
      <c r="D71" s="368">
        <v>245</v>
      </c>
      <c r="E71" s="368">
        <v>18786</v>
      </c>
      <c r="F71" s="368"/>
      <c r="G71" s="353" t="s">
        <v>100</v>
      </c>
      <c r="H71" s="369">
        <v>19031</v>
      </c>
    </row>
    <row r="72" spans="1:8" ht="63.75">
      <c r="A72" s="372" t="s">
        <v>105</v>
      </c>
      <c r="B72" s="339" t="s">
        <v>106</v>
      </c>
      <c r="C72" s="367">
        <v>21326</v>
      </c>
      <c r="D72" s="368">
        <v>209</v>
      </c>
      <c r="E72" s="368">
        <v>21117</v>
      </c>
      <c r="F72" s="368"/>
      <c r="G72" s="353" t="s">
        <v>100</v>
      </c>
      <c r="H72" s="369">
        <v>21326</v>
      </c>
    </row>
    <row r="73" spans="1:8" ht="76.5">
      <c r="A73" s="372" t="s">
        <v>107</v>
      </c>
      <c r="B73" s="339" t="s">
        <v>108</v>
      </c>
      <c r="C73" s="367">
        <v>9511</v>
      </c>
      <c r="D73" s="368">
        <v>2399</v>
      </c>
      <c r="E73" s="368">
        <v>7112</v>
      </c>
      <c r="F73" s="368"/>
      <c r="G73" s="353" t="s">
        <v>100</v>
      </c>
      <c r="H73" s="369">
        <v>9511</v>
      </c>
    </row>
    <row r="74" spans="1:8" s="350" customFormat="1" ht="63.75">
      <c r="A74" s="373" t="s">
        <v>109</v>
      </c>
      <c r="B74" s="356" t="s">
        <v>152</v>
      </c>
      <c r="C74" s="346">
        <v>50800</v>
      </c>
      <c r="D74" s="357">
        <v>25400</v>
      </c>
      <c r="E74" s="357">
        <v>25400</v>
      </c>
      <c r="F74" s="357"/>
      <c r="G74" s="370" t="s">
        <v>110</v>
      </c>
      <c r="H74" s="349">
        <v>50800</v>
      </c>
    </row>
    <row r="75" spans="1:8" ht="78.75" customHeight="1">
      <c r="A75" s="372" t="s">
        <v>111</v>
      </c>
      <c r="B75" s="339" t="s">
        <v>153</v>
      </c>
      <c r="C75" s="367">
        <v>115613</v>
      </c>
      <c r="D75" s="368"/>
      <c r="E75" s="368">
        <v>115613</v>
      </c>
      <c r="F75" s="368"/>
      <c r="G75" s="339" t="s">
        <v>54</v>
      </c>
      <c r="H75" s="369">
        <v>115613</v>
      </c>
    </row>
    <row r="76" spans="1:8" ht="66" customHeight="1">
      <c r="A76" s="372" t="s">
        <v>740</v>
      </c>
      <c r="B76" s="339" t="s">
        <v>154</v>
      </c>
      <c r="C76" s="367">
        <v>115522</v>
      </c>
      <c r="D76" s="368"/>
      <c r="E76" s="368">
        <v>115522</v>
      </c>
      <c r="F76" s="368"/>
      <c r="G76" s="339" t="s">
        <v>54</v>
      </c>
      <c r="H76" s="369">
        <v>115522</v>
      </c>
    </row>
    <row r="77" spans="1:23" ht="66" customHeight="1">
      <c r="A77" s="372" t="s">
        <v>112</v>
      </c>
      <c r="B77" s="339" t="s">
        <v>155</v>
      </c>
      <c r="C77" s="367">
        <v>167607</v>
      </c>
      <c r="D77" s="368">
        <v>14994</v>
      </c>
      <c r="E77" s="368">
        <v>152613</v>
      </c>
      <c r="F77" s="368"/>
      <c r="G77" s="339" t="s">
        <v>113</v>
      </c>
      <c r="H77" s="369">
        <v>167607</v>
      </c>
      <c r="W77" s="374"/>
    </row>
    <row r="78" spans="1:8" ht="66" customHeight="1">
      <c r="A78" s="372" t="s">
        <v>740</v>
      </c>
      <c r="B78" s="339" t="s">
        <v>156</v>
      </c>
      <c r="C78" s="367">
        <v>155750</v>
      </c>
      <c r="D78" s="368">
        <v>14994</v>
      </c>
      <c r="E78" s="368">
        <v>140756</v>
      </c>
      <c r="F78" s="368"/>
      <c r="G78" s="339" t="s">
        <v>113</v>
      </c>
      <c r="H78" s="369">
        <v>155750</v>
      </c>
    </row>
    <row r="79" spans="1:8" ht="63.75">
      <c r="A79" s="372" t="s">
        <v>114</v>
      </c>
      <c r="B79" s="368" t="s">
        <v>157</v>
      </c>
      <c r="C79" s="367">
        <f>155520+19900</f>
        <v>175420</v>
      </c>
      <c r="D79" s="368"/>
      <c r="E79" s="368">
        <f>155520+19900</f>
        <v>175420</v>
      </c>
      <c r="F79" s="368"/>
      <c r="G79" s="339" t="s">
        <v>115</v>
      </c>
      <c r="H79" s="369">
        <f>155520+19900</f>
        <v>175420</v>
      </c>
    </row>
    <row r="80" spans="1:8" ht="63.75">
      <c r="A80" s="372" t="s">
        <v>740</v>
      </c>
      <c r="B80" s="368" t="s">
        <v>393</v>
      </c>
      <c r="C80" s="367">
        <f>76912+12800</f>
        <v>89712</v>
      </c>
      <c r="D80" s="368"/>
      <c r="E80" s="368">
        <f>76912+12800</f>
        <v>89712</v>
      </c>
      <c r="F80" s="368"/>
      <c r="G80" s="339" t="s">
        <v>116</v>
      </c>
      <c r="H80" s="369">
        <f>76912+12800</f>
        <v>89712</v>
      </c>
    </row>
    <row r="81" spans="1:8" ht="49.5" customHeight="1">
      <c r="A81" s="372" t="s">
        <v>117</v>
      </c>
      <c r="B81" s="339" t="s">
        <v>118</v>
      </c>
      <c r="C81" s="375" t="s">
        <v>54</v>
      </c>
      <c r="D81" s="368"/>
      <c r="E81" s="368"/>
      <c r="F81" s="368"/>
      <c r="G81" s="339" t="s">
        <v>119</v>
      </c>
      <c r="H81" s="376" t="s">
        <v>54</v>
      </c>
    </row>
    <row r="82" spans="1:8" ht="21" customHeight="1">
      <c r="A82" s="372" t="s">
        <v>127</v>
      </c>
      <c r="B82" s="368" t="s">
        <v>128</v>
      </c>
      <c r="C82" s="368">
        <v>24956</v>
      </c>
      <c r="D82" s="368"/>
      <c r="E82" s="368">
        <v>24956</v>
      </c>
      <c r="F82" s="367"/>
      <c r="G82" s="368" t="s">
        <v>730</v>
      </c>
      <c r="H82" s="377"/>
    </row>
    <row r="83" spans="1:8" ht="27.75" customHeight="1">
      <c r="A83" s="372" t="s">
        <v>127</v>
      </c>
      <c r="B83" s="368" t="s">
        <v>128</v>
      </c>
      <c r="C83" s="368">
        <v>43842</v>
      </c>
      <c r="D83" s="368"/>
      <c r="E83" s="368">
        <v>43842</v>
      </c>
      <c r="F83" s="367"/>
      <c r="G83" s="368" t="s">
        <v>730</v>
      </c>
      <c r="H83" s="377"/>
    </row>
    <row r="84" spans="1:8" ht="18" customHeight="1">
      <c r="A84" s="1414" t="s">
        <v>614</v>
      </c>
      <c r="B84" s="1415"/>
      <c r="C84" s="1415"/>
      <c r="D84" s="1416"/>
      <c r="E84" s="359">
        <f>SUM(E62:E83)</f>
        <v>1493681</v>
      </c>
      <c r="F84" s="359">
        <f>SUM(F62:F83)</f>
        <v>110276</v>
      </c>
      <c r="G84" s="368"/>
      <c r="H84" s="377"/>
    </row>
    <row r="85" spans="1:8" ht="18" customHeight="1" thickBot="1">
      <c r="A85" s="1419" t="s">
        <v>129</v>
      </c>
      <c r="B85" s="1420"/>
      <c r="C85" s="1420"/>
      <c r="D85" s="1421"/>
      <c r="E85" s="378">
        <f>E84+E60+E52+E48+E10</f>
        <v>3044130</v>
      </c>
      <c r="F85" s="378">
        <f>F84+F60+F52+F48+F10</f>
        <v>1006519</v>
      </c>
      <c r="G85" s="379"/>
      <c r="H85" s="380"/>
    </row>
    <row r="86" spans="3:7" ht="25.5" customHeight="1" thickTop="1">
      <c r="C86" s="328"/>
      <c r="E86" s="382"/>
      <c r="F86" s="382"/>
      <c r="G86" s="328"/>
    </row>
    <row r="87" spans="3:7" ht="18" customHeight="1" thickBot="1">
      <c r="C87" s="328"/>
      <c r="E87" s="382"/>
      <c r="F87" s="382"/>
      <c r="G87" s="328"/>
    </row>
    <row r="88" spans="1:8" ht="65.25" customHeight="1" thickTop="1">
      <c r="A88" s="383"/>
      <c r="B88" s="384"/>
      <c r="C88" s="384"/>
      <c r="D88" s="384"/>
      <c r="E88" s="385"/>
      <c r="F88" s="385"/>
      <c r="G88" s="384"/>
      <c r="H88" s="386"/>
    </row>
    <row r="89" spans="1:8" ht="20.25" customHeight="1">
      <c r="A89" s="387" t="s">
        <v>614</v>
      </c>
      <c r="B89" s="388" t="s">
        <v>724</v>
      </c>
      <c r="C89" s="388"/>
      <c r="D89" s="388"/>
      <c r="E89" s="359">
        <v>826363</v>
      </c>
      <c r="F89" s="359">
        <v>408042</v>
      </c>
      <c r="G89" s="388"/>
      <c r="H89" s="389"/>
    </row>
    <row r="90" spans="1:8" ht="20.25" customHeight="1">
      <c r="A90" s="387" t="s">
        <v>614</v>
      </c>
      <c r="B90" s="388" t="s">
        <v>731</v>
      </c>
      <c r="C90" s="388"/>
      <c r="D90" s="388"/>
      <c r="E90" s="359">
        <v>693623</v>
      </c>
      <c r="F90" s="359">
        <v>486701</v>
      </c>
      <c r="G90" s="388"/>
      <c r="H90" s="389"/>
    </row>
    <row r="91" spans="1:8" ht="20.25" customHeight="1">
      <c r="A91" s="387" t="s">
        <v>614</v>
      </c>
      <c r="B91" s="388" t="s">
        <v>394</v>
      </c>
      <c r="C91" s="388"/>
      <c r="D91" s="388"/>
      <c r="E91" s="359">
        <v>23463</v>
      </c>
      <c r="F91" s="359">
        <v>0</v>
      </c>
      <c r="G91" s="390"/>
      <c r="H91" s="389"/>
    </row>
    <row r="92" spans="1:8" ht="18" customHeight="1">
      <c r="A92" s="387" t="s">
        <v>614</v>
      </c>
      <c r="B92" s="388" t="s">
        <v>395</v>
      </c>
      <c r="C92" s="388"/>
      <c r="D92" s="388"/>
      <c r="E92" s="359">
        <v>7000</v>
      </c>
      <c r="F92" s="359">
        <v>1500</v>
      </c>
      <c r="G92" s="388"/>
      <c r="H92" s="389"/>
    </row>
    <row r="93" spans="1:8" ht="37.5" customHeight="1">
      <c r="A93" s="387" t="s">
        <v>614</v>
      </c>
      <c r="B93" s="388" t="s">
        <v>79</v>
      </c>
      <c r="C93" s="388"/>
      <c r="D93" s="388"/>
      <c r="E93" s="359">
        <v>1493681</v>
      </c>
      <c r="F93" s="359">
        <v>110276</v>
      </c>
      <c r="G93" s="391"/>
      <c r="H93" s="389"/>
    </row>
    <row r="94" spans="1:8" ht="18" customHeight="1" thickBot="1">
      <c r="A94" s="1417" t="s">
        <v>129</v>
      </c>
      <c r="B94" s="1418"/>
      <c r="C94" s="1418"/>
      <c r="D94" s="1418"/>
      <c r="E94" s="378">
        <f>SUM(E89:E93)</f>
        <v>3044130</v>
      </c>
      <c r="F94" s="378">
        <f>SUM(F89:F93)</f>
        <v>1006519</v>
      </c>
      <c r="G94" s="392"/>
      <c r="H94" s="393"/>
    </row>
    <row r="95" spans="1:8" ht="18" customHeight="1" thickTop="1">
      <c r="A95" s="394"/>
      <c r="B95" s="395"/>
      <c r="C95" s="395"/>
      <c r="D95" s="395"/>
      <c r="E95" s="396"/>
      <c r="F95" s="396"/>
      <c r="G95" s="395"/>
      <c r="H95" s="395"/>
    </row>
    <row r="96" spans="3:7" ht="29.25" customHeight="1">
      <c r="C96" s="328"/>
      <c r="E96" s="382"/>
      <c r="F96" s="382"/>
      <c r="G96" s="328"/>
    </row>
    <row r="97" spans="3:7" ht="18" customHeight="1">
      <c r="C97" s="328"/>
      <c r="E97" s="382"/>
      <c r="F97" s="382"/>
      <c r="G97" s="328"/>
    </row>
    <row r="98" spans="3:7" ht="25.5" customHeight="1">
      <c r="C98" s="328"/>
      <c r="E98" s="382"/>
      <c r="F98" s="382"/>
      <c r="G98" s="328"/>
    </row>
    <row r="99" spans="3:7" ht="29.25" customHeight="1">
      <c r="C99" s="328"/>
      <c r="E99" s="382"/>
      <c r="F99" s="382"/>
      <c r="G99" s="328"/>
    </row>
    <row r="100" spans="3:7" ht="18" customHeight="1">
      <c r="C100" s="328"/>
      <c r="E100" s="382"/>
      <c r="F100" s="382"/>
      <c r="G100" s="328"/>
    </row>
    <row r="101" spans="3:7" ht="27.75" customHeight="1">
      <c r="C101" s="328"/>
      <c r="E101" s="382"/>
      <c r="F101" s="382"/>
      <c r="G101" s="328"/>
    </row>
    <row r="102" spans="3:7" ht="18" customHeight="1">
      <c r="C102" s="328"/>
      <c r="E102" s="382"/>
      <c r="F102" s="382"/>
      <c r="G102" s="328"/>
    </row>
    <row r="103" spans="3:7" ht="22.5" customHeight="1">
      <c r="C103" s="328"/>
      <c r="E103" s="382"/>
      <c r="F103" s="382"/>
      <c r="G103" s="328"/>
    </row>
    <row r="104" spans="3:7" ht="18" customHeight="1">
      <c r="C104" s="328"/>
      <c r="E104" s="382"/>
      <c r="F104" s="382"/>
      <c r="G104" s="328"/>
    </row>
    <row r="105" spans="3:7" ht="18" customHeight="1">
      <c r="C105" s="328"/>
      <c r="E105" s="382"/>
      <c r="F105" s="382"/>
      <c r="G105" s="328"/>
    </row>
    <row r="106" spans="3:7" ht="18" customHeight="1">
      <c r="C106" s="328"/>
      <c r="E106" s="382"/>
      <c r="F106" s="382"/>
      <c r="G106" s="328"/>
    </row>
    <row r="107" spans="3:7" ht="18" customHeight="1">
      <c r="C107" s="328"/>
      <c r="E107" s="382"/>
      <c r="F107" s="382"/>
      <c r="G107" s="328"/>
    </row>
    <row r="108" spans="3:7" ht="18" customHeight="1">
      <c r="C108" s="328"/>
      <c r="E108" s="382"/>
      <c r="F108" s="382"/>
      <c r="G108" s="328"/>
    </row>
    <row r="109" spans="3:7" ht="24.75" customHeight="1">
      <c r="C109" s="328"/>
      <c r="E109" s="382"/>
      <c r="F109" s="382"/>
      <c r="G109" s="328"/>
    </row>
    <row r="110" spans="3:7" ht="18" customHeight="1">
      <c r="C110" s="328"/>
      <c r="E110" s="382"/>
      <c r="F110" s="382"/>
      <c r="G110" s="328"/>
    </row>
    <row r="111" spans="3:7" ht="18" customHeight="1">
      <c r="C111" s="328"/>
      <c r="E111" s="382"/>
      <c r="F111" s="382"/>
      <c r="G111" s="328"/>
    </row>
    <row r="112" spans="3:7" ht="26.25" customHeight="1">
      <c r="C112" s="328"/>
      <c r="E112" s="382"/>
      <c r="F112" s="382"/>
      <c r="G112" s="328"/>
    </row>
    <row r="113" spans="3:7" ht="18" customHeight="1">
      <c r="C113" s="328"/>
      <c r="E113" s="382"/>
      <c r="F113" s="382"/>
      <c r="G113" s="328"/>
    </row>
    <row r="114" spans="3:7" ht="18" customHeight="1">
      <c r="C114" s="328"/>
      <c r="E114" s="382"/>
      <c r="F114" s="382"/>
      <c r="G114" s="328"/>
    </row>
    <row r="115" spans="3:7" ht="18" customHeight="1">
      <c r="C115" s="328"/>
      <c r="E115" s="382"/>
      <c r="F115" s="382"/>
      <c r="G115" s="328"/>
    </row>
    <row r="116" spans="3:8" ht="18" customHeight="1">
      <c r="C116" s="328"/>
      <c r="E116" s="382"/>
      <c r="F116" s="382"/>
      <c r="G116" s="328"/>
      <c r="H116" s="382"/>
    </row>
    <row r="117" spans="3:7" ht="27" customHeight="1">
      <c r="C117" s="328"/>
      <c r="E117" s="382"/>
      <c r="F117" s="382"/>
      <c r="G117" s="328"/>
    </row>
    <row r="118" spans="3:7" ht="27" customHeight="1">
      <c r="C118" s="328"/>
      <c r="E118" s="382"/>
      <c r="F118" s="382"/>
      <c r="G118" s="328"/>
    </row>
    <row r="119" spans="3:7" ht="18" customHeight="1">
      <c r="C119" s="328"/>
      <c r="E119" s="382"/>
      <c r="F119" s="382"/>
      <c r="G119" s="328"/>
    </row>
    <row r="120" spans="3:7" ht="27" customHeight="1">
      <c r="C120" s="328"/>
      <c r="E120" s="382"/>
      <c r="F120" s="382"/>
      <c r="G120" s="328"/>
    </row>
    <row r="121" spans="3:7" ht="27" customHeight="1">
      <c r="C121" s="328"/>
      <c r="E121" s="382"/>
      <c r="F121" s="382"/>
      <c r="G121" s="328"/>
    </row>
    <row r="122" spans="3:7" ht="18" customHeight="1">
      <c r="C122" s="328"/>
      <c r="E122" s="382"/>
      <c r="F122" s="382"/>
      <c r="G122" s="328"/>
    </row>
    <row r="123" spans="3:7" ht="24" customHeight="1">
      <c r="C123" s="328"/>
      <c r="E123" s="382"/>
      <c r="F123" s="382"/>
      <c r="G123" s="328"/>
    </row>
    <row r="124" spans="3:7" ht="24" customHeight="1">
      <c r="C124" s="328"/>
      <c r="E124" s="382"/>
      <c r="F124" s="382"/>
      <c r="G124" s="328"/>
    </row>
    <row r="125" spans="3:7" ht="18" customHeight="1">
      <c r="C125" s="328"/>
      <c r="E125" s="382"/>
      <c r="F125" s="382"/>
      <c r="G125" s="328"/>
    </row>
    <row r="126" spans="3:7" ht="27" customHeight="1">
      <c r="C126" s="328"/>
      <c r="E126" s="382"/>
      <c r="F126" s="382"/>
      <c r="G126" s="328"/>
    </row>
    <row r="127" spans="3:7" ht="27" customHeight="1">
      <c r="C127" s="328"/>
      <c r="E127" s="382"/>
      <c r="F127" s="382"/>
      <c r="G127" s="328"/>
    </row>
    <row r="128" spans="3:7" ht="25.5" customHeight="1">
      <c r="C128" s="328"/>
      <c r="E128" s="382"/>
      <c r="F128" s="382"/>
      <c r="G128" s="328"/>
    </row>
    <row r="129" spans="3:7" ht="18" customHeight="1">
      <c r="C129" s="328"/>
      <c r="E129" s="382"/>
      <c r="F129" s="382"/>
      <c r="G129" s="328"/>
    </row>
    <row r="130" spans="1:8" s="382" customFormat="1" ht="27" customHeight="1">
      <c r="A130" s="381"/>
      <c r="B130" s="328"/>
      <c r="C130" s="328"/>
      <c r="D130" s="328"/>
      <c r="G130" s="328"/>
      <c r="H130" s="328"/>
    </row>
    <row r="131" spans="3:7" ht="19.5" customHeight="1">
      <c r="C131" s="328"/>
      <c r="E131" s="382"/>
      <c r="F131" s="382"/>
      <c r="G131" s="328"/>
    </row>
    <row r="132" spans="3:7" ht="18" customHeight="1">
      <c r="C132" s="328"/>
      <c r="E132" s="382"/>
      <c r="F132" s="382"/>
      <c r="G132" s="328"/>
    </row>
    <row r="133" spans="3:7" ht="19.5" customHeight="1">
      <c r="C133" s="328"/>
      <c r="E133" s="382"/>
      <c r="F133" s="382"/>
      <c r="G133" s="328"/>
    </row>
    <row r="134" spans="3:7" ht="15.75" customHeight="1">
      <c r="C134" s="328"/>
      <c r="E134" s="382"/>
      <c r="F134" s="382"/>
      <c r="G134" s="328"/>
    </row>
    <row r="135" spans="3:7" ht="15" customHeight="1">
      <c r="C135" s="328"/>
      <c r="E135" s="382"/>
      <c r="F135" s="382"/>
      <c r="G135" s="328"/>
    </row>
    <row r="136" spans="3:7" ht="18.75" customHeight="1">
      <c r="C136" s="328"/>
      <c r="E136" s="382"/>
      <c r="F136" s="382"/>
      <c r="G136" s="328"/>
    </row>
    <row r="137" spans="3:7" ht="12.75">
      <c r="C137" s="328"/>
      <c r="E137" s="382"/>
      <c r="F137" s="382"/>
      <c r="G137" s="328"/>
    </row>
    <row r="138" spans="3:7" ht="12.75">
      <c r="C138" s="328"/>
      <c r="E138" s="382"/>
      <c r="F138" s="382"/>
      <c r="G138" s="328"/>
    </row>
    <row r="139" spans="3:7" ht="12.75">
      <c r="C139" s="328"/>
      <c r="E139" s="382"/>
      <c r="F139" s="382"/>
      <c r="G139" s="328"/>
    </row>
    <row r="140" spans="3:7" ht="12.75">
      <c r="C140" s="328"/>
      <c r="E140" s="382"/>
      <c r="F140" s="382"/>
      <c r="G140" s="328"/>
    </row>
    <row r="141" spans="3:7" ht="12.75">
      <c r="C141" s="328"/>
      <c r="E141" s="382"/>
      <c r="F141" s="382"/>
      <c r="G141" s="328"/>
    </row>
    <row r="142" spans="3:7" ht="12.75">
      <c r="C142" s="328"/>
      <c r="E142" s="382"/>
      <c r="F142" s="382"/>
      <c r="G142" s="328"/>
    </row>
    <row r="143" spans="3:7" ht="12.75">
      <c r="C143" s="328"/>
      <c r="E143" s="382"/>
      <c r="F143" s="382"/>
      <c r="G143" s="328"/>
    </row>
    <row r="144" spans="3:7" ht="12.75">
      <c r="C144" s="328"/>
      <c r="E144" s="382"/>
      <c r="F144" s="382"/>
      <c r="G144" s="328"/>
    </row>
    <row r="145" spans="3:7" ht="12.75">
      <c r="C145" s="328"/>
      <c r="E145" s="382"/>
      <c r="F145" s="382"/>
      <c r="G145" s="328"/>
    </row>
    <row r="146" spans="3:7" ht="12.75">
      <c r="C146" s="328"/>
      <c r="E146" s="382"/>
      <c r="F146" s="382"/>
      <c r="G146" s="328"/>
    </row>
    <row r="147" spans="3:7" ht="12.75">
      <c r="C147" s="328"/>
      <c r="E147" s="382"/>
      <c r="F147" s="382"/>
      <c r="G147" s="328"/>
    </row>
    <row r="148" spans="3:7" ht="12.75">
      <c r="C148" s="328"/>
      <c r="E148" s="382"/>
      <c r="F148" s="382"/>
      <c r="G148" s="328"/>
    </row>
    <row r="149" spans="3:7" ht="12.75">
      <c r="C149" s="328"/>
      <c r="E149" s="382"/>
      <c r="F149" s="382"/>
      <c r="G149" s="328"/>
    </row>
    <row r="150" spans="3:7" ht="12.75">
      <c r="C150" s="328"/>
      <c r="E150" s="382"/>
      <c r="F150" s="382"/>
      <c r="G150" s="328"/>
    </row>
    <row r="151" spans="3:7" ht="12.75">
      <c r="C151" s="328"/>
      <c r="E151" s="382"/>
      <c r="F151" s="382"/>
      <c r="G151" s="328"/>
    </row>
    <row r="152" spans="3:7" ht="12.75">
      <c r="C152" s="328"/>
      <c r="E152" s="382"/>
      <c r="F152" s="382"/>
      <c r="G152" s="328"/>
    </row>
    <row r="153" spans="3:7" ht="12.75">
      <c r="C153" s="328"/>
      <c r="E153" s="382"/>
      <c r="F153" s="382"/>
      <c r="G153" s="328"/>
    </row>
    <row r="154" spans="3:7" ht="12.75">
      <c r="C154" s="328"/>
      <c r="E154" s="382"/>
      <c r="F154" s="382"/>
      <c r="G154" s="328"/>
    </row>
    <row r="155" spans="3:7" ht="12.75">
      <c r="C155" s="328"/>
      <c r="E155" s="382"/>
      <c r="F155" s="382"/>
      <c r="G155" s="328"/>
    </row>
    <row r="156" spans="3:7" ht="12.75">
      <c r="C156" s="328"/>
      <c r="E156" s="382"/>
      <c r="F156" s="382"/>
      <c r="G156" s="328"/>
    </row>
    <row r="157" spans="3:7" ht="12.75">
      <c r="C157" s="328"/>
      <c r="E157" s="382"/>
      <c r="F157" s="382"/>
      <c r="G157" s="328"/>
    </row>
    <row r="158" spans="3:7" ht="12.75">
      <c r="C158" s="328"/>
      <c r="E158" s="382"/>
      <c r="F158" s="382"/>
      <c r="G158" s="328"/>
    </row>
    <row r="159" spans="3:7" ht="12.75">
      <c r="C159" s="328"/>
      <c r="E159" s="382"/>
      <c r="F159" s="382"/>
      <c r="G159" s="328"/>
    </row>
    <row r="160" spans="3:7" ht="12.75">
      <c r="C160" s="328"/>
      <c r="E160" s="382"/>
      <c r="F160" s="382"/>
      <c r="G160" s="328"/>
    </row>
    <row r="161" spans="3:7" ht="12.75">
      <c r="C161" s="328"/>
      <c r="E161" s="382"/>
      <c r="F161" s="382"/>
      <c r="G161" s="328"/>
    </row>
    <row r="162" spans="3:7" ht="12.75">
      <c r="C162" s="328"/>
      <c r="E162" s="382"/>
      <c r="F162" s="382"/>
      <c r="G162" s="328"/>
    </row>
    <row r="163" spans="3:7" ht="12.75">
      <c r="C163" s="328"/>
      <c r="E163" s="382"/>
      <c r="F163" s="382"/>
      <c r="G163" s="328"/>
    </row>
    <row r="164" spans="3:7" ht="12.75">
      <c r="C164" s="328"/>
      <c r="E164" s="382"/>
      <c r="F164" s="382"/>
      <c r="G164" s="328"/>
    </row>
    <row r="165" spans="3:7" ht="12.75">
      <c r="C165" s="328"/>
      <c r="E165" s="382"/>
      <c r="F165" s="382"/>
      <c r="G165" s="328"/>
    </row>
    <row r="166" spans="3:7" ht="12.75">
      <c r="C166" s="328"/>
      <c r="E166" s="382"/>
      <c r="F166" s="382"/>
      <c r="G166" s="328"/>
    </row>
    <row r="167" spans="3:7" ht="12.75">
      <c r="C167" s="328"/>
      <c r="E167" s="382"/>
      <c r="F167" s="382"/>
      <c r="G167" s="328"/>
    </row>
    <row r="168" spans="3:7" ht="12.75">
      <c r="C168" s="328"/>
      <c r="E168" s="382"/>
      <c r="F168" s="382"/>
      <c r="G168" s="328"/>
    </row>
    <row r="169" spans="3:7" ht="12.75">
      <c r="C169" s="328"/>
      <c r="E169" s="382"/>
      <c r="F169" s="382"/>
      <c r="G169" s="328"/>
    </row>
    <row r="170" spans="3:7" ht="12.75">
      <c r="C170" s="328"/>
      <c r="E170" s="382"/>
      <c r="F170" s="382"/>
      <c r="G170" s="328"/>
    </row>
    <row r="171" spans="3:7" ht="12.75">
      <c r="C171" s="328"/>
      <c r="E171" s="382"/>
      <c r="F171" s="382"/>
      <c r="G171" s="328"/>
    </row>
    <row r="172" spans="3:7" ht="12.75">
      <c r="C172" s="328"/>
      <c r="E172" s="382"/>
      <c r="F172" s="382"/>
      <c r="G172" s="328"/>
    </row>
    <row r="173" spans="3:7" ht="12.75">
      <c r="C173" s="328"/>
      <c r="E173" s="382"/>
      <c r="F173" s="382"/>
      <c r="G173" s="328"/>
    </row>
    <row r="174" spans="3:7" ht="12.75">
      <c r="C174" s="328"/>
      <c r="E174" s="382"/>
      <c r="F174" s="382"/>
      <c r="G174" s="328"/>
    </row>
    <row r="175" spans="3:7" ht="12.75">
      <c r="C175" s="328"/>
      <c r="E175" s="382"/>
      <c r="F175" s="382"/>
      <c r="G175" s="328"/>
    </row>
    <row r="176" spans="3:7" ht="12.75">
      <c r="C176" s="328"/>
      <c r="E176" s="382"/>
      <c r="F176" s="382"/>
      <c r="G176" s="328"/>
    </row>
    <row r="177" spans="3:7" ht="12.75">
      <c r="C177" s="328"/>
      <c r="E177" s="382"/>
      <c r="F177" s="382"/>
      <c r="G177" s="328"/>
    </row>
    <row r="178" spans="3:7" ht="12.75">
      <c r="C178" s="328"/>
      <c r="E178" s="382"/>
      <c r="F178" s="382"/>
      <c r="G178" s="328"/>
    </row>
    <row r="179" spans="3:7" ht="12.75">
      <c r="C179" s="328"/>
      <c r="E179" s="382"/>
      <c r="F179" s="382"/>
      <c r="G179" s="328"/>
    </row>
    <row r="180" spans="3:7" ht="12.75">
      <c r="C180" s="328"/>
      <c r="E180" s="382"/>
      <c r="F180" s="382"/>
      <c r="G180" s="328"/>
    </row>
    <row r="181" spans="3:7" ht="12.75">
      <c r="C181" s="328"/>
      <c r="E181" s="382"/>
      <c r="F181" s="382"/>
      <c r="G181" s="328"/>
    </row>
    <row r="182" spans="3:7" ht="12.75">
      <c r="C182" s="328"/>
      <c r="E182" s="382"/>
      <c r="F182" s="382"/>
      <c r="G182" s="328"/>
    </row>
    <row r="183" spans="3:7" ht="12.75">
      <c r="C183" s="328"/>
      <c r="E183" s="382"/>
      <c r="F183" s="382"/>
      <c r="G183" s="328"/>
    </row>
    <row r="184" spans="3:7" ht="12.75">
      <c r="C184" s="328"/>
      <c r="E184" s="382"/>
      <c r="F184" s="382"/>
      <c r="G184" s="328"/>
    </row>
    <row r="185" spans="3:7" ht="12.75">
      <c r="C185" s="328"/>
      <c r="E185" s="382"/>
      <c r="F185" s="382"/>
      <c r="G185" s="328"/>
    </row>
    <row r="186" spans="3:7" ht="12.75">
      <c r="C186" s="328"/>
      <c r="E186" s="382"/>
      <c r="F186" s="382"/>
      <c r="G186" s="328"/>
    </row>
    <row r="295" ht="12.75"/>
    <row r="296" ht="12.75"/>
  </sheetData>
  <autoFilter ref="A1:A186"/>
  <mergeCells count="27">
    <mergeCell ref="A94:D94"/>
    <mergeCell ref="A48:D48"/>
    <mergeCell ref="A52:D52"/>
    <mergeCell ref="A84:D84"/>
    <mergeCell ref="A85:D85"/>
    <mergeCell ref="A61:B61"/>
    <mergeCell ref="C61:H61"/>
    <mergeCell ref="A53:B53"/>
    <mergeCell ref="C53:H53"/>
    <mergeCell ref="A60:D60"/>
    <mergeCell ref="A11:B11"/>
    <mergeCell ref="C11:H11"/>
    <mergeCell ref="E5:E6"/>
    <mergeCell ref="A7:B7"/>
    <mergeCell ref="C7:H7"/>
    <mergeCell ref="F5:F6"/>
    <mergeCell ref="A10:D10"/>
    <mergeCell ref="D4:F4"/>
    <mergeCell ref="A3:E3"/>
    <mergeCell ref="G3:H3"/>
    <mergeCell ref="A1:H2"/>
    <mergeCell ref="A4:A6"/>
    <mergeCell ref="B4:B6"/>
    <mergeCell ref="C4:C6"/>
    <mergeCell ref="G4:G6"/>
    <mergeCell ref="H4:H6"/>
    <mergeCell ref="D5:D6"/>
  </mergeCells>
  <printOptions horizontalCentered="1"/>
  <pageMargins left="0.07874015748031496" right="0.11811023622047245" top="0.3" bottom="0.11811023622047245" header="0.2362204724409449" footer="0.11811023622047245"/>
  <pageSetup horizontalDpi="300" verticalDpi="300" orientation="landscape" paperSize="9" scale="70" r:id="rId3"/>
  <headerFooter alignWithMargins="0">
    <oddHeader>&amp;R&amp;"Times New Roman,Normál""B" függelék</oddHeader>
    <oddFooter>&amp;C&amp;P. oldal</oddFooter>
  </headerFooter>
  <rowBreaks count="3" manualBreakCount="3">
    <brk id="20" max="7" man="1"/>
    <brk id="29" max="7" man="1"/>
    <brk id="38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V54"/>
  <sheetViews>
    <sheetView view="pageBreakPreview" zoomScaleSheetLayoutView="100" workbookViewId="0" topLeftCell="A1">
      <selection activeCell="E22" sqref="E22"/>
    </sheetView>
  </sheetViews>
  <sheetFormatPr defaultColWidth="9.140625" defaultRowHeight="12.75"/>
  <cols>
    <col min="1" max="1" width="30.8515625" style="0" customWidth="1"/>
    <col min="2" max="2" width="11.28125" style="0" bestFit="1" customWidth="1"/>
    <col min="4" max="4" width="10.7109375" style="0" customWidth="1"/>
    <col min="6" max="6" width="11.28125" style="0" customWidth="1"/>
    <col min="8" max="8" width="9.7109375" style="0" customWidth="1"/>
    <col min="11" max="11" width="9.28125" style="0" bestFit="1" customWidth="1"/>
    <col min="12" max="12" width="9.28125" style="0" customWidth="1"/>
    <col min="16" max="16" width="9.7109375" style="0" customWidth="1"/>
    <col min="18" max="18" width="10.00390625" style="0" customWidth="1"/>
  </cols>
  <sheetData>
    <row r="3" spans="1:18" ht="18">
      <c r="A3" s="1206" t="s">
        <v>406</v>
      </c>
      <c r="B3" s="1206"/>
      <c r="C3" s="1206"/>
      <c r="D3" s="1206"/>
      <c r="E3" s="1206"/>
      <c r="F3" s="1206"/>
      <c r="G3" s="1206"/>
      <c r="H3" s="1206"/>
      <c r="I3" s="1206"/>
      <c r="J3" s="1206"/>
      <c r="K3" s="1206"/>
      <c r="L3" s="1206"/>
      <c r="M3" s="1206"/>
      <c r="N3" s="1206"/>
      <c r="O3" s="1206"/>
      <c r="P3" s="1206"/>
      <c r="Q3" s="1206"/>
      <c r="R3" s="1206"/>
    </row>
    <row r="5" spans="1:18" ht="15.75">
      <c r="A5" s="1207" t="s">
        <v>433</v>
      </c>
      <c r="B5" s="1207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</row>
    <row r="6" spans="17:18" ht="12.75">
      <c r="Q6" t="s">
        <v>595</v>
      </c>
      <c r="R6" t="s">
        <v>408</v>
      </c>
    </row>
    <row r="7" spans="1:18" ht="12.75">
      <c r="A7" s="86" t="s">
        <v>574</v>
      </c>
      <c r="B7" s="86">
        <v>1998</v>
      </c>
      <c r="C7" s="86">
        <v>1999</v>
      </c>
      <c r="D7" s="1209" t="s">
        <v>597</v>
      </c>
      <c r="E7" s="86">
        <v>2000</v>
      </c>
      <c r="F7" s="1209" t="s">
        <v>598</v>
      </c>
      <c r="G7" s="86">
        <v>2001</v>
      </c>
      <c r="H7" s="1209" t="s">
        <v>599</v>
      </c>
      <c r="I7" s="86">
        <v>2002</v>
      </c>
      <c r="J7" s="1209" t="s">
        <v>600</v>
      </c>
      <c r="K7" s="86">
        <v>2003</v>
      </c>
      <c r="L7" s="1209" t="s">
        <v>601</v>
      </c>
      <c r="M7" s="86">
        <v>2004</v>
      </c>
      <c r="N7" s="1209" t="s">
        <v>602</v>
      </c>
      <c r="O7" s="86">
        <v>2005</v>
      </c>
      <c r="P7" s="1209" t="s">
        <v>603</v>
      </c>
      <c r="Q7" t="s">
        <v>596</v>
      </c>
      <c r="R7" s="86" t="s">
        <v>396</v>
      </c>
    </row>
    <row r="8" spans="1:18" ht="12.75">
      <c r="A8" s="86"/>
      <c r="B8" s="86"/>
      <c r="C8" s="86"/>
      <c r="D8" s="1209"/>
      <c r="E8" s="86"/>
      <c r="F8" s="1209"/>
      <c r="G8" s="86"/>
      <c r="H8" s="1209"/>
      <c r="I8" s="86"/>
      <c r="J8" s="1209"/>
      <c r="K8" s="86"/>
      <c r="L8" s="1209"/>
      <c r="M8" s="86"/>
      <c r="N8" s="1209"/>
      <c r="O8" s="86"/>
      <c r="P8" s="1209"/>
      <c r="R8" s="86"/>
    </row>
    <row r="9" spans="1:18" s="2" customFormat="1" ht="12.75">
      <c r="A9" s="11" t="s">
        <v>572</v>
      </c>
      <c r="B9" s="6">
        <v>4504</v>
      </c>
      <c r="C9" s="6">
        <v>5202</v>
      </c>
      <c r="D9" s="158">
        <f>C9/B9</f>
        <v>1.1549733570159857</v>
      </c>
      <c r="E9" s="6">
        <v>5672</v>
      </c>
      <c r="F9" s="158">
        <f>E9/C9</f>
        <v>1.0903498654363706</v>
      </c>
      <c r="G9" s="6">
        <v>7892</v>
      </c>
      <c r="H9" s="158">
        <f>G9/E9</f>
        <v>1.3913963328631875</v>
      </c>
      <c r="I9" s="6">
        <v>7674</v>
      </c>
      <c r="J9" s="158">
        <f>I9/G9</f>
        <v>0.9723770907247846</v>
      </c>
      <c r="K9" s="6">
        <v>6909</v>
      </c>
      <c r="L9" s="158">
        <f>K9/I9</f>
        <v>0.900312744331509</v>
      </c>
      <c r="M9" s="6">
        <v>6870</v>
      </c>
      <c r="N9" s="158">
        <f>M9/K9</f>
        <v>0.9943551888840643</v>
      </c>
      <c r="O9" s="6">
        <v>8177</v>
      </c>
      <c r="P9" s="158">
        <f>O9/M9</f>
        <v>1.1902474526928675</v>
      </c>
      <c r="Q9" s="157">
        <f>SUM(O9/B9*100)</f>
        <v>181.54973357015987</v>
      </c>
      <c r="R9" s="6">
        <v>7264</v>
      </c>
    </row>
    <row r="10" spans="1:18" ht="12.75">
      <c r="A10" s="10"/>
      <c r="B10" s="4"/>
      <c r="C10" s="4"/>
      <c r="D10" s="159"/>
      <c r="E10" s="4"/>
      <c r="F10" s="159"/>
      <c r="G10" s="4"/>
      <c r="H10" s="159"/>
      <c r="I10" s="4"/>
      <c r="J10" s="159"/>
      <c r="K10" s="4"/>
      <c r="L10" s="159"/>
      <c r="M10" s="4"/>
      <c r="N10" s="159"/>
      <c r="O10" s="4"/>
      <c r="P10" s="159"/>
      <c r="Q10" s="157"/>
      <c r="R10" s="4"/>
    </row>
    <row r="11" spans="1:18" ht="12.75">
      <c r="A11" s="10" t="s">
        <v>398</v>
      </c>
      <c r="B11" s="4">
        <v>1295</v>
      </c>
      <c r="C11" s="4">
        <v>1250</v>
      </c>
      <c r="D11" s="160">
        <f>C11/B11</f>
        <v>0.9652509652509652</v>
      </c>
      <c r="E11" s="4">
        <v>1389</v>
      </c>
      <c r="F11" s="160">
        <f>E11/C11</f>
        <v>1.1112</v>
      </c>
      <c r="G11" s="4">
        <v>1713</v>
      </c>
      <c r="H11" s="160">
        <f>G11/E11</f>
        <v>1.2332613390928726</v>
      </c>
      <c r="I11" s="4">
        <v>1999</v>
      </c>
      <c r="J11" s="160">
        <f>I11/G11</f>
        <v>1.166958552247519</v>
      </c>
      <c r="K11" s="4">
        <v>2393</v>
      </c>
      <c r="L11" s="160">
        <f>K11/I11</f>
        <v>1.1970985492746373</v>
      </c>
      <c r="M11" s="4">
        <v>2758</v>
      </c>
      <c r="N11" s="160">
        <f>M11/K11</f>
        <v>1.1525282072712077</v>
      </c>
      <c r="O11" s="4">
        <v>2858</v>
      </c>
      <c r="P11" s="160">
        <f>O11/M11</f>
        <v>1.0362581580855692</v>
      </c>
      <c r="Q11" s="157">
        <f aca="true" t="shared" si="0" ref="Q11:Q24">SUM(O11/B11*100)</f>
        <v>220.69498069498067</v>
      </c>
      <c r="R11" s="4">
        <v>3012</v>
      </c>
    </row>
    <row r="12" spans="1:18" ht="12.75">
      <c r="A12" s="10" t="s">
        <v>399</v>
      </c>
      <c r="B12" s="4">
        <v>3221</v>
      </c>
      <c r="C12" s="4">
        <v>3778</v>
      </c>
      <c r="D12" s="160">
        <f>C12/B12</f>
        <v>1.1729276622167029</v>
      </c>
      <c r="E12" s="4">
        <v>3578</v>
      </c>
      <c r="F12" s="160">
        <f>E12/C12</f>
        <v>0.9470619375330863</v>
      </c>
      <c r="G12" s="4">
        <v>4046</v>
      </c>
      <c r="H12" s="160">
        <f>G12/E12</f>
        <v>1.1307993292342091</v>
      </c>
      <c r="I12" s="4">
        <v>5167</v>
      </c>
      <c r="J12" s="160">
        <f>I12/G12</f>
        <v>1.277063766683144</v>
      </c>
      <c r="K12" s="4">
        <v>6655</v>
      </c>
      <c r="L12" s="160">
        <f>K12/I12</f>
        <v>1.2879814205535127</v>
      </c>
      <c r="M12" s="4">
        <v>6843</v>
      </c>
      <c r="N12" s="160">
        <f>M12/K12</f>
        <v>1.0282494365138992</v>
      </c>
      <c r="O12" s="4">
        <v>7554</v>
      </c>
      <c r="P12" s="160">
        <f>O12/M12</f>
        <v>1.1039017974572556</v>
      </c>
      <c r="Q12" s="157">
        <f t="shared" si="0"/>
        <v>234.52343992548896</v>
      </c>
      <c r="R12" s="4">
        <v>6276</v>
      </c>
    </row>
    <row r="13" spans="1:18" ht="13.5" customHeight="1">
      <c r="A13" s="10" t="s">
        <v>400</v>
      </c>
      <c r="B13" s="4">
        <v>269</v>
      </c>
      <c r="C13" s="4">
        <v>288</v>
      </c>
      <c r="D13" s="160">
        <f>C13/B13</f>
        <v>1.070631970260223</v>
      </c>
      <c r="E13" s="4">
        <v>1194</v>
      </c>
      <c r="F13" s="160">
        <f>E13/C13</f>
        <v>4.145833333333333</v>
      </c>
      <c r="G13" s="4">
        <v>630</v>
      </c>
      <c r="H13" s="160">
        <f>G13/E13</f>
        <v>0.5276381909547738</v>
      </c>
      <c r="I13" s="4">
        <v>603</v>
      </c>
      <c r="J13" s="160">
        <f>I13/G13</f>
        <v>0.9571428571428572</v>
      </c>
      <c r="K13" s="4">
        <v>663</v>
      </c>
      <c r="L13" s="160">
        <f>K13/I13</f>
        <v>1.099502487562189</v>
      </c>
      <c r="M13" s="4">
        <v>841</v>
      </c>
      <c r="N13" s="160">
        <f>M13/K13</f>
        <v>1.2684766214177978</v>
      </c>
      <c r="O13" s="4">
        <v>841</v>
      </c>
      <c r="P13" s="160">
        <f>O13/M13</f>
        <v>1</v>
      </c>
      <c r="Q13" s="157">
        <f t="shared" si="0"/>
        <v>312.639405204461</v>
      </c>
      <c r="R13" s="4">
        <v>431</v>
      </c>
    </row>
    <row r="14" spans="1:18" s="2" customFormat="1" ht="12.75">
      <c r="A14" s="12" t="s">
        <v>401</v>
      </c>
      <c r="B14" s="6">
        <f>SUM(B11:B13)</f>
        <v>4785</v>
      </c>
      <c r="C14" s="6">
        <f aca="true" t="shared" si="1" ref="C14:R14">SUM(C11:C13)</f>
        <v>5316</v>
      </c>
      <c r="D14" s="158">
        <f>C14/B14</f>
        <v>1.1109717868338558</v>
      </c>
      <c r="E14" s="6">
        <f t="shared" si="1"/>
        <v>6161</v>
      </c>
      <c r="F14" s="158">
        <f>E14/C14</f>
        <v>1.15895410082769</v>
      </c>
      <c r="G14" s="6">
        <f t="shared" si="1"/>
        <v>6389</v>
      </c>
      <c r="H14" s="158">
        <f>G14/E14</f>
        <v>1.0370069793864631</v>
      </c>
      <c r="I14" s="6">
        <f t="shared" si="1"/>
        <v>7769</v>
      </c>
      <c r="J14" s="158">
        <f>I14/G14</f>
        <v>1.2159962435435905</v>
      </c>
      <c r="K14" s="6">
        <f t="shared" si="1"/>
        <v>9711</v>
      </c>
      <c r="L14" s="158">
        <f>K14/I14</f>
        <v>1.2499678208263612</v>
      </c>
      <c r="M14" s="6">
        <f t="shared" si="1"/>
        <v>10442</v>
      </c>
      <c r="N14" s="158">
        <f>M14/K14</f>
        <v>1.0752754608176296</v>
      </c>
      <c r="O14" s="6">
        <f t="shared" si="1"/>
        <v>11253</v>
      </c>
      <c r="P14" s="158">
        <f>O14/M14</f>
        <v>1.077667113579774</v>
      </c>
      <c r="Q14" s="157">
        <f t="shared" si="0"/>
        <v>235.17241379310346</v>
      </c>
      <c r="R14" s="6">
        <f t="shared" si="1"/>
        <v>9719</v>
      </c>
    </row>
    <row r="15" spans="1:18" ht="12.75">
      <c r="A15" s="3"/>
      <c r="B15" s="4"/>
      <c r="C15" s="4"/>
      <c r="D15" s="159"/>
      <c r="E15" s="4"/>
      <c r="F15" s="159"/>
      <c r="G15" s="4"/>
      <c r="H15" s="159"/>
      <c r="I15" s="4"/>
      <c r="J15" s="159"/>
      <c r="K15" s="4"/>
      <c r="L15" s="159"/>
      <c r="M15" s="4"/>
      <c r="N15" s="159"/>
      <c r="O15" s="4"/>
      <c r="P15" s="159"/>
      <c r="Q15" s="157"/>
      <c r="R15" s="4"/>
    </row>
    <row r="16" spans="1:18" ht="12.75">
      <c r="A16" s="12" t="s">
        <v>402</v>
      </c>
      <c r="B16" s="6">
        <v>774</v>
      </c>
      <c r="C16" s="6">
        <v>359</v>
      </c>
      <c r="D16" s="158">
        <f>C16/B16</f>
        <v>0.46382428940568476</v>
      </c>
      <c r="E16" s="6">
        <v>763</v>
      </c>
      <c r="F16" s="158">
        <f>E16/C16</f>
        <v>2.1253481894150417</v>
      </c>
      <c r="G16" s="6">
        <v>2657</v>
      </c>
      <c r="H16" s="158">
        <f>G16/E16</f>
        <v>3.4823066841415464</v>
      </c>
      <c r="I16" s="6">
        <v>1580</v>
      </c>
      <c r="J16" s="158">
        <f>I16/G16</f>
        <v>0.5946556266465939</v>
      </c>
      <c r="K16" s="6">
        <v>722</v>
      </c>
      <c r="L16" s="158">
        <f>K16/I16</f>
        <v>0.4569620253164557</v>
      </c>
      <c r="M16" s="6">
        <v>1389</v>
      </c>
      <c r="N16" s="158">
        <f>M16/K16</f>
        <v>1.9238227146814404</v>
      </c>
      <c r="O16" s="6">
        <v>2220</v>
      </c>
      <c r="P16" s="158">
        <f>O16/M16</f>
        <v>1.5982721382289418</v>
      </c>
      <c r="Q16" s="157">
        <f t="shared" si="0"/>
        <v>286.82170542635663</v>
      </c>
      <c r="R16" s="6">
        <v>3948</v>
      </c>
    </row>
    <row r="17" spans="1:18" ht="12.75">
      <c r="A17" s="12"/>
      <c r="B17" s="6"/>
      <c r="C17" s="6"/>
      <c r="D17" s="161"/>
      <c r="E17" s="6"/>
      <c r="F17" s="161"/>
      <c r="G17" s="6"/>
      <c r="H17" s="161"/>
      <c r="I17" s="6"/>
      <c r="J17" s="161"/>
      <c r="K17" s="6"/>
      <c r="L17" s="161"/>
      <c r="M17" s="6"/>
      <c r="N17" s="161"/>
      <c r="O17" s="6"/>
      <c r="P17" s="161"/>
      <c r="Q17" s="157"/>
      <c r="R17" s="6"/>
    </row>
    <row r="18" spans="1:18" ht="12.75">
      <c r="A18" s="12" t="s">
        <v>403</v>
      </c>
      <c r="B18" s="6">
        <v>339</v>
      </c>
      <c r="C18" s="6">
        <v>357</v>
      </c>
      <c r="D18" s="158">
        <f>C18/B18</f>
        <v>1.0530973451327434</v>
      </c>
      <c r="E18" s="6">
        <v>1058</v>
      </c>
      <c r="F18" s="158">
        <f>E18/C18</f>
        <v>2.9635854341736696</v>
      </c>
      <c r="G18" s="6">
        <v>1532</v>
      </c>
      <c r="H18" s="158">
        <f>G18/E18</f>
        <v>1.448015122873346</v>
      </c>
      <c r="I18" s="6">
        <v>382</v>
      </c>
      <c r="J18" s="158">
        <f>I18/G18</f>
        <v>0.24934725848563968</v>
      </c>
      <c r="K18" s="6">
        <v>129</v>
      </c>
      <c r="L18" s="158">
        <f>K18/I18</f>
        <v>0.337696335078534</v>
      </c>
      <c r="M18" s="6">
        <v>474</v>
      </c>
      <c r="N18" s="158">
        <f>M18/K18</f>
        <v>3.6744186046511627</v>
      </c>
      <c r="O18" s="6">
        <v>367</v>
      </c>
      <c r="P18" s="158">
        <f>O18/M18</f>
        <v>0.7742616033755274</v>
      </c>
      <c r="Q18" s="157">
        <f t="shared" si="0"/>
        <v>108.25958702064898</v>
      </c>
      <c r="R18" s="6">
        <v>134</v>
      </c>
    </row>
    <row r="19" spans="1:18" ht="12.75">
      <c r="A19" s="12"/>
      <c r="B19" s="4"/>
      <c r="C19" s="4"/>
      <c r="D19" s="159"/>
      <c r="E19" s="4"/>
      <c r="F19" s="159"/>
      <c r="G19" s="4"/>
      <c r="H19" s="159"/>
      <c r="I19" s="4"/>
      <c r="J19" s="159"/>
      <c r="K19" s="4"/>
      <c r="L19" s="159"/>
      <c r="M19" s="4"/>
      <c r="N19" s="159"/>
      <c r="O19" s="4"/>
      <c r="P19" s="159"/>
      <c r="Q19" s="157"/>
      <c r="R19" s="4"/>
    </row>
    <row r="20" spans="1:18" ht="12.75">
      <c r="A20" s="11" t="s">
        <v>404</v>
      </c>
      <c r="B20" s="6">
        <v>1341</v>
      </c>
      <c r="C20" s="6">
        <v>1197</v>
      </c>
      <c r="D20" s="158">
        <f>C20/B20</f>
        <v>0.8926174496644296</v>
      </c>
      <c r="E20" s="6">
        <v>1063</v>
      </c>
      <c r="F20" s="158">
        <f>E20/C20</f>
        <v>0.8880534670008354</v>
      </c>
      <c r="G20" s="6">
        <v>2801</v>
      </c>
      <c r="H20" s="158">
        <f>G20/E20</f>
        <v>2.6349952963311383</v>
      </c>
      <c r="I20" s="6">
        <v>2058</v>
      </c>
      <c r="J20" s="158">
        <f>I20/G20</f>
        <v>0.7347375937165298</v>
      </c>
      <c r="K20" s="6">
        <v>988</v>
      </c>
      <c r="L20" s="158">
        <f>K20/I20</f>
        <v>0.4800777453838678</v>
      </c>
      <c r="M20" s="6">
        <v>1495</v>
      </c>
      <c r="N20" s="158">
        <f>M20/K20</f>
        <v>1.513157894736842</v>
      </c>
      <c r="O20" s="6">
        <v>1053</v>
      </c>
      <c r="P20" s="158">
        <f>O20/M20</f>
        <v>0.7043478260869566</v>
      </c>
      <c r="Q20" s="157">
        <f t="shared" si="0"/>
        <v>78.52348993288591</v>
      </c>
      <c r="R20" s="6">
        <v>2087</v>
      </c>
    </row>
    <row r="21" spans="1:18" ht="12.75">
      <c r="A21" s="11"/>
      <c r="B21" s="6"/>
      <c r="C21" s="6"/>
      <c r="D21" s="158"/>
      <c r="E21" s="6"/>
      <c r="F21" s="158"/>
      <c r="G21" s="6"/>
      <c r="H21" s="158"/>
      <c r="I21" s="6"/>
      <c r="J21" s="158"/>
      <c r="K21" s="6"/>
      <c r="L21" s="158"/>
      <c r="M21" s="6"/>
      <c r="N21" s="158"/>
      <c r="O21" s="6"/>
      <c r="P21" s="158"/>
      <c r="Q21" s="157"/>
      <c r="R21" s="6"/>
    </row>
    <row r="22" spans="1:18" ht="12.75">
      <c r="A22" s="11" t="s">
        <v>422</v>
      </c>
      <c r="B22" s="6">
        <f>SUM(B9+B14+B16+B18+B20)</f>
        <v>11743</v>
      </c>
      <c r="C22" s="6">
        <f>SUM(C9+C14+C16+C18+C20)</f>
        <v>12431</v>
      </c>
      <c r="D22" s="158">
        <f>C22/B22</f>
        <v>1.0585880950353401</v>
      </c>
      <c r="E22" s="6">
        <f>SUM(E9+E14+E16+E18+E20)</f>
        <v>14717</v>
      </c>
      <c r="F22" s="158">
        <f>E22/C22</f>
        <v>1.1838951009572842</v>
      </c>
      <c r="G22" s="6">
        <f>SUM(G9+G14+G16+G18+G20)</f>
        <v>21271</v>
      </c>
      <c r="H22" s="158">
        <f>G22/E22</f>
        <v>1.4453353264931712</v>
      </c>
      <c r="I22" s="6">
        <f>SUM(I9+I14+I16+I18+I20)</f>
        <v>19463</v>
      </c>
      <c r="J22" s="158">
        <f>I22/G22</f>
        <v>0.9150016454327489</v>
      </c>
      <c r="K22" s="6">
        <f>SUM(K9+K14+K16+K18+K20)</f>
        <v>18459</v>
      </c>
      <c r="L22" s="158">
        <f>K22/I22</f>
        <v>0.9484149411704259</v>
      </c>
      <c r="M22" s="6">
        <f>SUM(M9+M14+M16+M18+M20)</f>
        <v>20670</v>
      </c>
      <c r="N22" s="158">
        <f>M22/K22</f>
        <v>1.1197789696083211</v>
      </c>
      <c r="O22" s="6">
        <f>SUM(O9+O14+O16+O18+O20)</f>
        <v>23070</v>
      </c>
      <c r="P22" s="158">
        <f>O22/M22</f>
        <v>1.11611030478955</v>
      </c>
      <c r="Q22" s="157">
        <f t="shared" si="0"/>
        <v>196.45746402111897</v>
      </c>
      <c r="R22" s="6">
        <f>SUM(R9+R14+R16+R18+R20)</f>
        <v>23152</v>
      </c>
    </row>
    <row r="23" spans="1:18" ht="12.75">
      <c r="A23" s="11"/>
      <c r="B23" s="6"/>
      <c r="C23" s="6"/>
      <c r="D23" s="161"/>
      <c r="E23" s="6"/>
      <c r="F23" s="161"/>
      <c r="G23" s="6"/>
      <c r="H23" s="161"/>
      <c r="I23" s="6"/>
      <c r="J23" s="161"/>
      <c r="K23" s="6"/>
      <c r="L23" s="161"/>
      <c r="M23" s="6"/>
      <c r="N23" s="161"/>
      <c r="O23" s="6"/>
      <c r="P23" s="161"/>
      <c r="Q23" s="157"/>
      <c r="R23" s="6"/>
    </row>
    <row r="24" spans="1:18" ht="12.75">
      <c r="A24" s="143" t="s">
        <v>573</v>
      </c>
      <c r="B24" s="144">
        <v>106</v>
      </c>
      <c r="C24" s="144">
        <v>32</v>
      </c>
      <c r="D24" s="160">
        <f>C24/B24</f>
        <v>0.3018867924528302</v>
      </c>
      <c r="E24" s="145">
        <v>0</v>
      </c>
      <c r="F24" s="158">
        <f>E24/C24</f>
        <v>0</v>
      </c>
      <c r="G24" s="145">
        <v>177</v>
      </c>
      <c r="H24" s="158" t="e">
        <f>G24/E24</f>
        <v>#DIV/0!</v>
      </c>
      <c r="I24" s="145">
        <v>990</v>
      </c>
      <c r="J24" s="158">
        <f>I24/G24</f>
        <v>5.593220338983051</v>
      </c>
      <c r="K24" s="145">
        <v>3984</v>
      </c>
      <c r="L24" s="158">
        <f>K24/I24</f>
        <v>4.024242424242424</v>
      </c>
      <c r="M24" s="145">
        <v>11</v>
      </c>
      <c r="N24" s="158">
        <f>M24/K24</f>
        <v>0.0027610441767068274</v>
      </c>
      <c r="O24" s="145">
        <v>2919</v>
      </c>
      <c r="P24" s="158">
        <f>O24/M24</f>
        <v>265.3636363636364</v>
      </c>
      <c r="Q24" s="157">
        <f t="shared" si="0"/>
        <v>2753.7735849056603</v>
      </c>
      <c r="R24" s="145"/>
    </row>
    <row r="25" spans="1:18" ht="12.75">
      <c r="A25" s="143"/>
      <c r="B25" s="144"/>
      <c r="C25" s="144"/>
      <c r="D25" s="162"/>
      <c r="E25" s="145"/>
      <c r="F25" s="162"/>
      <c r="G25" s="145"/>
      <c r="H25" s="162"/>
      <c r="I25" s="145"/>
      <c r="J25" s="162"/>
      <c r="K25" s="145"/>
      <c r="L25" s="162"/>
      <c r="M25" s="145"/>
      <c r="N25" s="162"/>
      <c r="O25" s="145"/>
      <c r="P25" s="162"/>
      <c r="Q25" s="157"/>
      <c r="R25" s="145"/>
    </row>
    <row r="26" spans="1:18" ht="12.75">
      <c r="A26" s="13" t="s">
        <v>405</v>
      </c>
      <c r="B26" s="14">
        <f>SUM(B24+B20+B18+B16+B14+B9)</f>
        <v>11849</v>
      </c>
      <c r="C26" s="14">
        <f aca="true" t="shared" si="2" ref="C26:R26">SUM(C24+C20+C18+C16+C14+C9)</f>
        <v>12463</v>
      </c>
      <c r="D26" s="158">
        <f>C26/B26</f>
        <v>1.0518187188792303</v>
      </c>
      <c r="E26" s="14">
        <f t="shared" si="2"/>
        <v>14717</v>
      </c>
      <c r="F26" s="158">
        <f>E26/C26</f>
        <v>1.180855331782075</v>
      </c>
      <c r="G26" s="14">
        <f t="shared" si="2"/>
        <v>21448</v>
      </c>
      <c r="H26" s="158">
        <f>G26/E26</f>
        <v>1.4573622341509818</v>
      </c>
      <c r="I26" s="14">
        <f t="shared" si="2"/>
        <v>20453</v>
      </c>
      <c r="J26" s="158">
        <f>I26/G26</f>
        <v>0.9536087280865349</v>
      </c>
      <c r="K26" s="14">
        <f t="shared" si="2"/>
        <v>22443</v>
      </c>
      <c r="L26" s="158">
        <f>K26/I26</f>
        <v>1.0972962401603676</v>
      </c>
      <c r="M26" s="14">
        <f t="shared" si="2"/>
        <v>20681</v>
      </c>
      <c r="N26" s="158">
        <f>M26/K26</f>
        <v>0.9214899968809874</v>
      </c>
      <c r="O26" s="14">
        <f t="shared" si="2"/>
        <v>25989</v>
      </c>
      <c r="P26" s="158">
        <f>O26/M26</f>
        <v>1.2566607030607804</v>
      </c>
      <c r="Q26" s="157">
        <f>SUM(O26/B26*100)</f>
        <v>219.33496497594734</v>
      </c>
      <c r="R26" s="14">
        <f t="shared" si="2"/>
        <v>23152</v>
      </c>
    </row>
    <row r="27" spans="1:18" ht="12.75">
      <c r="A27" s="10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9" ht="12.75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3"/>
    </row>
    <row r="29" spans="1:19" ht="15.75">
      <c r="A29" s="1208" t="s">
        <v>432</v>
      </c>
      <c r="B29" s="1208"/>
      <c r="C29" s="1208"/>
      <c r="D29" s="1208"/>
      <c r="E29" s="1208"/>
      <c r="F29" s="1208"/>
      <c r="G29" s="1208"/>
      <c r="H29" s="1208"/>
      <c r="I29" s="1208"/>
      <c r="J29" s="1208"/>
      <c r="K29" s="1208"/>
      <c r="L29" s="1208"/>
      <c r="M29" s="1208"/>
      <c r="N29" s="1208"/>
      <c r="O29" s="1208"/>
      <c r="P29" s="1208"/>
      <c r="Q29" s="1208"/>
      <c r="R29" s="1208"/>
      <c r="S29" s="3"/>
    </row>
    <row r="30" spans="1:19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3"/>
    </row>
    <row r="31" spans="1:19" ht="12.75">
      <c r="A31" s="146" t="s">
        <v>441</v>
      </c>
      <c r="B31" s="86">
        <v>1998</v>
      </c>
      <c r="C31" s="86">
        <v>1999</v>
      </c>
      <c r="D31" s="86"/>
      <c r="E31" s="86">
        <v>2000</v>
      </c>
      <c r="F31" s="86"/>
      <c r="G31" s="86">
        <v>2001</v>
      </c>
      <c r="H31" s="86"/>
      <c r="I31" s="86">
        <v>2002</v>
      </c>
      <c r="J31" s="86"/>
      <c r="K31" s="86">
        <v>2003</v>
      </c>
      <c r="L31" s="86"/>
      <c r="M31" s="86">
        <v>2004</v>
      </c>
      <c r="N31" s="86"/>
      <c r="O31" s="86">
        <v>2005</v>
      </c>
      <c r="P31" s="86"/>
      <c r="Q31" s="86"/>
      <c r="R31" s="86" t="s">
        <v>396</v>
      </c>
      <c r="S31" s="3"/>
    </row>
    <row r="32" spans="1:19" ht="12.75">
      <c r="A32" s="11" t="s">
        <v>397</v>
      </c>
      <c r="B32" s="8">
        <f>B9/B$26</f>
        <v>0.38011646552451683</v>
      </c>
      <c r="C32" s="8">
        <f>C9/C$26</f>
        <v>0.4173954906523309</v>
      </c>
      <c r="D32" s="8"/>
      <c r="E32" s="8">
        <f>E9/E$26</f>
        <v>0.38540463409662296</v>
      </c>
      <c r="F32" s="8"/>
      <c r="G32" s="8">
        <f>G9/G$26</f>
        <v>0.3679597165236852</v>
      </c>
      <c r="H32" s="8"/>
      <c r="I32" s="8">
        <f>I9/I$26</f>
        <v>0.37520168190485503</v>
      </c>
      <c r="J32" s="8"/>
      <c r="K32" s="8">
        <f>K9/K$26</f>
        <v>0.30784654457960164</v>
      </c>
      <c r="L32" s="8"/>
      <c r="M32" s="8">
        <f>M9/M$26</f>
        <v>0.3321889657173251</v>
      </c>
      <c r="N32" s="8"/>
      <c r="O32" s="8">
        <f>O9/O$26</f>
        <v>0.31463311400977334</v>
      </c>
      <c r="P32" s="8"/>
      <c r="Q32" s="8"/>
      <c r="R32" s="8">
        <f>R9/R$26</f>
        <v>0.31375259156876295</v>
      </c>
      <c r="S32" s="3"/>
    </row>
    <row r="33" spans="1:19" ht="12.75">
      <c r="A33" s="12" t="s">
        <v>401</v>
      </c>
      <c r="B33" s="8">
        <f>B14/B26</f>
        <v>0.40383154696598866</v>
      </c>
      <c r="C33" s="8">
        <f aca="true" t="shared" si="3" ref="C33:R33">C14/C26</f>
        <v>0.42654256599534623</v>
      </c>
      <c r="D33" s="8"/>
      <c r="E33" s="8">
        <f t="shared" si="3"/>
        <v>0.4186315145749813</v>
      </c>
      <c r="F33" s="8"/>
      <c r="G33" s="8">
        <f t="shared" si="3"/>
        <v>0.29788325251771725</v>
      </c>
      <c r="H33" s="8"/>
      <c r="I33" s="8">
        <f t="shared" si="3"/>
        <v>0.3798464772893952</v>
      </c>
      <c r="J33" s="8"/>
      <c r="K33" s="8">
        <f t="shared" si="3"/>
        <v>0.43269616361449004</v>
      </c>
      <c r="L33" s="8"/>
      <c r="M33" s="8">
        <f t="shared" si="3"/>
        <v>0.5049078864658382</v>
      </c>
      <c r="N33" s="8"/>
      <c r="O33" s="8">
        <f t="shared" si="3"/>
        <v>0.43299088075724346</v>
      </c>
      <c r="P33" s="8"/>
      <c r="Q33" s="8"/>
      <c r="R33" s="8">
        <f t="shared" si="3"/>
        <v>0.41979094678645473</v>
      </c>
      <c r="S33" s="3"/>
    </row>
    <row r="34" spans="1:19" ht="12.75">
      <c r="A34" s="12" t="s">
        <v>402</v>
      </c>
      <c r="B34" s="8">
        <f>B16/B26</f>
        <v>0.06532196809857371</v>
      </c>
      <c r="C34" s="8">
        <f aca="true" t="shared" si="4" ref="C34:R34">C16/C26</f>
        <v>0.028805263580197384</v>
      </c>
      <c r="D34" s="8"/>
      <c r="E34" s="8">
        <f t="shared" si="4"/>
        <v>0.05184480532717266</v>
      </c>
      <c r="F34" s="8"/>
      <c r="G34" s="8">
        <f t="shared" si="4"/>
        <v>0.12388101454681089</v>
      </c>
      <c r="H34" s="8"/>
      <c r="I34" s="8">
        <f t="shared" si="4"/>
        <v>0.07725028113235222</v>
      </c>
      <c r="J34" s="8"/>
      <c r="K34" s="8">
        <f t="shared" si="4"/>
        <v>0.032170387203136835</v>
      </c>
      <c r="L34" s="8"/>
      <c r="M34" s="8">
        <f t="shared" si="4"/>
        <v>0.06716309656206179</v>
      </c>
      <c r="N34" s="8"/>
      <c r="O34" s="8">
        <f t="shared" si="4"/>
        <v>0.0854207549347801</v>
      </c>
      <c r="P34" s="8"/>
      <c r="Q34" s="8"/>
      <c r="R34" s="8">
        <f t="shared" si="4"/>
        <v>0.17052522460262612</v>
      </c>
      <c r="S34" s="3"/>
    </row>
    <row r="35" spans="1:19" ht="12.75">
      <c r="A35" s="12" t="s">
        <v>403</v>
      </c>
      <c r="B35" s="8">
        <f>B18/B26</f>
        <v>0.02861000928348384</v>
      </c>
      <c r="C35" s="8">
        <f aca="true" t="shared" si="5" ref="C35:R35">C18/C26</f>
        <v>0.028644788574179573</v>
      </c>
      <c r="D35" s="8"/>
      <c r="E35" s="8">
        <f t="shared" si="5"/>
        <v>0.07188965142352381</v>
      </c>
      <c r="F35" s="8"/>
      <c r="G35" s="8">
        <f t="shared" si="5"/>
        <v>0.07142857142857142</v>
      </c>
      <c r="H35" s="8"/>
      <c r="I35" s="8">
        <f t="shared" si="5"/>
        <v>0.01867696670415098</v>
      </c>
      <c r="J35" s="8"/>
      <c r="K35" s="8">
        <f t="shared" si="5"/>
        <v>0.005747894666488437</v>
      </c>
      <c r="L35" s="8"/>
      <c r="M35" s="8">
        <f t="shared" si="5"/>
        <v>0.022919588027658238</v>
      </c>
      <c r="N35" s="8"/>
      <c r="O35" s="8">
        <f t="shared" si="5"/>
        <v>0.014121359036515449</v>
      </c>
      <c r="P35" s="8"/>
      <c r="Q35" s="8"/>
      <c r="R35" s="8">
        <f t="shared" si="5"/>
        <v>0.005787836903939184</v>
      </c>
      <c r="S35" s="3"/>
    </row>
    <row r="36" spans="1:19" ht="12.75">
      <c r="A36" s="11" t="s">
        <v>404</v>
      </c>
      <c r="B36" s="8">
        <f>B20/B26</f>
        <v>0.11317410751962191</v>
      </c>
      <c r="C36" s="8">
        <f aca="true" t="shared" si="6" ref="C36:R36">C20/C26</f>
        <v>0.09604429110166092</v>
      </c>
      <c r="D36" s="8"/>
      <c r="E36" s="8">
        <f t="shared" si="6"/>
        <v>0.07222939457769927</v>
      </c>
      <c r="F36" s="8"/>
      <c r="G36" s="8">
        <f t="shared" si="6"/>
        <v>0.13059492726594554</v>
      </c>
      <c r="H36" s="8"/>
      <c r="I36" s="8">
        <f t="shared" si="6"/>
        <v>0.10062093580403852</v>
      </c>
      <c r="J36" s="8"/>
      <c r="K36" s="8">
        <f t="shared" si="6"/>
        <v>0.044022635120081983</v>
      </c>
      <c r="L36" s="8"/>
      <c r="M36" s="8">
        <f t="shared" si="6"/>
        <v>0.07228857405347903</v>
      </c>
      <c r="N36" s="8"/>
      <c r="O36" s="8">
        <f t="shared" si="6"/>
        <v>0.04051714186771326</v>
      </c>
      <c r="P36" s="8"/>
      <c r="Q36" s="8"/>
      <c r="R36" s="8">
        <f t="shared" si="6"/>
        <v>0.090143400138217</v>
      </c>
      <c r="S36" s="3"/>
    </row>
    <row r="37" spans="1:19" ht="12.75">
      <c r="A37" s="13" t="s">
        <v>405</v>
      </c>
      <c r="B37" s="8">
        <f>SUM(B32:B36)</f>
        <v>0.991054097392185</v>
      </c>
      <c r="C37" s="8">
        <f aca="true" t="shared" si="7" ref="C37:R37">SUM(C32:C36)</f>
        <v>0.997432399903715</v>
      </c>
      <c r="D37" s="8"/>
      <c r="E37" s="8">
        <f t="shared" si="7"/>
        <v>1</v>
      </c>
      <c r="F37" s="8"/>
      <c r="G37" s="8">
        <f t="shared" si="7"/>
        <v>0.9917474822827304</v>
      </c>
      <c r="H37" s="8"/>
      <c r="I37" s="8">
        <f t="shared" si="7"/>
        <v>0.9515963428347919</v>
      </c>
      <c r="J37" s="8"/>
      <c r="K37" s="8">
        <f t="shared" si="7"/>
        <v>0.8224836251837988</v>
      </c>
      <c r="L37" s="8"/>
      <c r="M37" s="8">
        <f t="shared" si="7"/>
        <v>0.9994681108263622</v>
      </c>
      <c r="N37" s="8"/>
      <c r="O37" s="8">
        <f t="shared" si="7"/>
        <v>0.8876832506060256</v>
      </c>
      <c r="P37" s="8"/>
      <c r="Q37" s="8"/>
      <c r="R37" s="8">
        <f t="shared" si="7"/>
        <v>0.9999999999999999</v>
      </c>
      <c r="S37" s="3"/>
    </row>
    <row r="38" spans="1:19" ht="12.75">
      <c r="A38" s="1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3"/>
    </row>
    <row r="39" spans="1:19" ht="12.75">
      <c r="A39" s="13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3"/>
    </row>
    <row r="40" spans="1:19" ht="12.75">
      <c r="A40" s="9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3"/>
    </row>
    <row r="41" spans="1:19" ht="12.75">
      <c r="A41" s="1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3"/>
    </row>
    <row r="42" spans="1:19" ht="12.75">
      <c r="A42" s="1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3"/>
    </row>
    <row r="43" spans="1:22" ht="12.75">
      <c r="A43" s="9" t="s">
        <v>431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1"/>
      <c r="U43" s="1"/>
      <c r="V43" s="1"/>
    </row>
    <row r="44" spans="1:22" ht="12.75">
      <c r="A44" s="9"/>
      <c r="B44" s="10">
        <v>1998</v>
      </c>
      <c r="C44" s="10">
        <v>1999</v>
      </c>
      <c r="D44" s="10"/>
      <c r="E44" s="10">
        <v>2000</v>
      </c>
      <c r="F44" s="10"/>
      <c r="G44" s="10">
        <v>2001</v>
      </c>
      <c r="H44" s="10"/>
      <c r="I44" s="10">
        <v>2002</v>
      </c>
      <c r="J44" s="10"/>
      <c r="K44" s="10">
        <v>2003</v>
      </c>
      <c r="L44" s="10"/>
      <c r="M44" s="10">
        <v>2004</v>
      </c>
      <c r="N44" s="10"/>
      <c r="O44" s="10">
        <v>2005</v>
      </c>
      <c r="P44" s="10"/>
      <c r="Q44" s="10"/>
      <c r="R44" s="10" t="s">
        <v>396</v>
      </c>
      <c r="S44" s="5"/>
      <c r="T44" s="1"/>
      <c r="U44" s="1"/>
      <c r="V44" s="1"/>
    </row>
    <row r="45" spans="1:19" ht="12.75">
      <c r="A45" s="11" t="s">
        <v>397</v>
      </c>
      <c r="B45" s="6">
        <v>4504</v>
      </c>
      <c r="C45" s="6">
        <v>5202</v>
      </c>
      <c r="D45" s="6"/>
      <c r="E45" s="6">
        <v>5672</v>
      </c>
      <c r="F45" s="6"/>
      <c r="G45" s="6">
        <v>7892</v>
      </c>
      <c r="H45" s="6"/>
      <c r="I45" s="6">
        <v>7674</v>
      </c>
      <c r="J45" s="6"/>
      <c r="K45" s="6">
        <v>6909</v>
      </c>
      <c r="L45" s="6"/>
      <c r="M45" s="6">
        <v>6870</v>
      </c>
      <c r="N45" s="6"/>
      <c r="O45" s="6">
        <v>8177</v>
      </c>
      <c r="P45" s="6"/>
      <c r="Q45" s="6"/>
      <c r="R45" s="6">
        <v>7264</v>
      </c>
      <c r="S45" s="3"/>
    </row>
    <row r="46" spans="1:19" ht="12.75">
      <c r="A46" s="12" t="s">
        <v>401</v>
      </c>
      <c r="B46" s="5">
        <f>B14</f>
        <v>4785</v>
      </c>
      <c r="C46" s="5">
        <f aca="true" t="shared" si="8" ref="C46:R46">C14</f>
        <v>5316</v>
      </c>
      <c r="D46" s="5"/>
      <c r="E46" s="5">
        <f t="shared" si="8"/>
        <v>6161</v>
      </c>
      <c r="F46" s="5"/>
      <c r="G46" s="5">
        <f t="shared" si="8"/>
        <v>6389</v>
      </c>
      <c r="H46" s="5"/>
      <c r="I46" s="5">
        <f t="shared" si="8"/>
        <v>7769</v>
      </c>
      <c r="J46" s="5"/>
      <c r="K46" s="5">
        <f t="shared" si="8"/>
        <v>9711</v>
      </c>
      <c r="L46" s="5"/>
      <c r="M46" s="5">
        <f t="shared" si="8"/>
        <v>10442</v>
      </c>
      <c r="N46" s="5"/>
      <c r="O46" s="5">
        <f t="shared" si="8"/>
        <v>11253</v>
      </c>
      <c r="P46" s="5"/>
      <c r="Q46" s="5"/>
      <c r="R46" s="5">
        <f t="shared" si="8"/>
        <v>9719</v>
      </c>
      <c r="S46" s="3"/>
    </row>
    <row r="47" spans="1:19" ht="12.75">
      <c r="A47" s="12" t="s">
        <v>402</v>
      </c>
      <c r="B47" s="5">
        <f>B16</f>
        <v>774</v>
      </c>
      <c r="C47" s="5">
        <f aca="true" t="shared" si="9" ref="C47:R47">C16</f>
        <v>359</v>
      </c>
      <c r="D47" s="5"/>
      <c r="E47" s="5">
        <f t="shared" si="9"/>
        <v>763</v>
      </c>
      <c r="F47" s="5"/>
      <c r="G47" s="5">
        <f t="shared" si="9"/>
        <v>2657</v>
      </c>
      <c r="H47" s="5"/>
      <c r="I47" s="5">
        <f t="shared" si="9"/>
        <v>1580</v>
      </c>
      <c r="J47" s="5"/>
      <c r="K47" s="5">
        <f t="shared" si="9"/>
        <v>722</v>
      </c>
      <c r="L47" s="5"/>
      <c r="M47" s="5">
        <f t="shared" si="9"/>
        <v>1389</v>
      </c>
      <c r="N47" s="5"/>
      <c r="O47" s="5">
        <f t="shared" si="9"/>
        <v>2220</v>
      </c>
      <c r="P47" s="5"/>
      <c r="Q47" s="5"/>
      <c r="R47" s="5">
        <f t="shared" si="9"/>
        <v>3948</v>
      </c>
      <c r="S47" s="3"/>
    </row>
    <row r="48" spans="1:19" ht="12.75">
      <c r="A48" s="12" t="s">
        <v>403</v>
      </c>
      <c r="B48" s="5">
        <f>B18</f>
        <v>339</v>
      </c>
      <c r="C48" s="5">
        <f aca="true" t="shared" si="10" ref="C48:R48">C18</f>
        <v>357</v>
      </c>
      <c r="D48" s="5"/>
      <c r="E48" s="5">
        <f t="shared" si="10"/>
        <v>1058</v>
      </c>
      <c r="F48" s="5"/>
      <c r="G48" s="5">
        <f t="shared" si="10"/>
        <v>1532</v>
      </c>
      <c r="H48" s="5"/>
      <c r="I48" s="5">
        <f t="shared" si="10"/>
        <v>382</v>
      </c>
      <c r="J48" s="5"/>
      <c r="K48" s="5">
        <f t="shared" si="10"/>
        <v>129</v>
      </c>
      <c r="L48" s="5"/>
      <c r="M48" s="5">
        <f t="shared" si="10"/>
        <v>474</v>
      </c>
      <c r="N48" s="5"/>
      <c r="O48" s="5">
        <f t="shared" si="10"/>
        <v>367</v>
      </c>
      <c r="P48" s="5"/>
      <c r="Q48" s="5"/>
      <c r="R48" s="5">
        <f t="shared" si="10"/>
        <v>134</v>
      </c>
      <c r="S48" s="3"/>
    </row>
    <row r="49" spans="1:19" ht="12.75">
      <c r="A49" s="11" t="s">
        <v>404</v>
      </c>
      <c r="B49" s="5">
        <f>B20</f>
        <v>1341</v>
      </c>
      <c r="C49" s="5">
        <f aca="true" t="shared" si="11" ref="C49:R49">C20</f>
        <v>1197</v>
      </c>
      <c r="D49" s="5"/>
      <c r="E49" s="5">
        <f t="shared" si="11"/>
        <v>1063</v>
      </c>
      <c r="F49" s="5"/>
      <c r="G49" s="5">
        <f t="shared" si="11"/>
        <v>2801</v>
      </c>
      <c r="H49" s="5"/>
      <c r="I49" s="5">
        <f t="shared" si="11"/>
        <v>2058</v>
      </c>
      <c r="J49" s="5"/>
      <c r="K49" s="5">
        <f t="shared" si="11"/>
        <v>988</v>
      </c>
      <c r="L49" s="5"/>
      <c r="M49" s="5">
        <f t="shared" si="11"/>
        <v>1495</v>
      </c>
      <c r="N49" s="5"/>
      <c r="O49" s="5">
        <f t="shared" si="11"/>
        <v>1053</v>
      </c>
      <c r="P49" s="5"/>
      <c r="Q49" s="5"/>
      <c r="R49" s="5">
        <f t="shared" si="11"/>
        <v>2087</v>
      </c>
      <c r="S49" s="3"/>
    </row>
    <row r="50" spans="1:19" ht="12.75">
      <c r="A50" s="143" t="s">
        <v>573</v>
      </c>
      <c r="B50" s="144">
        <v>106</v>
      </c>
      <c r="C50" s="144">
        <v>32</v>
      </c>
      <c r="D50" s="144"/>
      <c r="E50" s="145">
        <v>0</v>
      </c>
      <c r="F50" s="145"/>
      <c r="G50" s="145">
        <v>177</v>
      </c>
      <c r="H50" s="145"/>
      <c r="I50" s="145">
        <v>990</v>
      </c>
      <c r="J50" s="145"/>
      <c r="K50" s="145">
        <v>3984</v>
      </c>
      <c r="L50" s="145"/>
      <c r="M50" s="145">
        <v>11</v>
      </c>
      <c r="N50" s="145"/>
      <c r="O50" s="145">
        <v>2919</v>
      </c>
      <c r="P50" s="145"/>
      <c r="Q50" s="145"/>
      <c r="R50" s="145"/>
      <c r="S50" s="3"/>
    </row>
    <row r="51" spans="1:19" ht="12.75">
      <c r="A51" s="13" t="s">
        <v>405</v>
      </c>
      <c r="B51" s="5">
        <f>SUM(B45:B50)</f>
        <v>11849</v>
      </c>
      <c r="C51" s="5">
        <f aca="true" t="shared" si="12" ref="C51:R51">SUM(C45:C50)</f>
        <v>12463</v>
      </c>
      <c r="D51" s="5"/>
      <c r="E51" s="5">
        <f t="shared" si="12"/>
        <v>14717</v>
      </c>
      <c r="F51" s="5"/>
      <c r="G51" s="5">
        <f t="shared" si="12"/>
        <v>21448</v>
      </c>
      <c r="H51" s="5"/>
      <c r="I51" s="5">
        <f t="shared" si="12"/>
        <v>20453</v>
      </c>
      <c r="J51" s="5"/>
      <c r="K51" s="5">
        <f t="shared" si="12"/>
        <v>22443</v>
      </c>
      <c r="L51" s="5"/>
      <c r="M51" s="5">
        <f t="shared" si="12"/>
        <v>20681</v>
      </c>
      <c r="N51" s="5"/>
      <c r="O51" s="5">
        <f t="shared" si="12"/>
        <v>25989</v>
      </c>
      <c r="P51" s="5"/>
      <c r="Q51" s="5"/>
      <c r="R51" s="5">
        <f t="shared" si="12"/>
        <v>23152</v>
      </c>
      <c r="S51" s="3"/>
    </row>
    <row r="52" spans="1:19" ht="12.75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3"/>
    </row>
    <row r="53" spans="1:19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</sheetData>
  <mergeCells count="10">
    <mergeCell ref="A3:R3"/>
    <mergeCell ref="A5:R5"/>
    <mergeCell ref="A29:R29"/>
    <mergeCell ref="D7:D8"/>
    <mergeCell ref="F7:F8"/>
    <mergeCell ref="H7:H8"/>
    <mergeCell ref="J7:J8"/>
    <mergeCell ref="L7:L8"/>
    <mergeCell ref="N7:N8"/>
    <mergeCell ref="P7:P8"/>
  </mergeCells>
  <printOptions/>
  <pageMargins left="0.75" right="0.75" top="1" bottom="1" header="0.5" footer="0.5"/>
  <pageSetup horizontalDpi="600" verticalDpi="600" orientation="landscape" paperSize="9" scale="6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T53"/>
  <sheetViews>
    <sheetView workbookViewId="0" topLeftCell="A2">
      <selection activeCell="C13" sqref="C13"/>
    </sheetView>
  </sheetViews>
  <sheetFormatPr defaultColWidth="9.140625" defaultRowHeight="12.75"/>
  <cols>
    <col min="1" max="5" width="9.140625" style="841" customWidth="1"/>
    <col min="6" max="6" width="4.140625" style="841" customWidth="1"/>
    <col min="7" max="8" width="10.7109375" style="841" hidden="1" customWidth="1"/>
    <col min="9" max="9" width="10.8515625" style="841" customWidth="1"/>
    <col min="10" max="11" width="10.7109375" style="841" customWidth="1"/>
    <col min="12" max="12" width="10.8515625" style="841" customWidth="1"/>
    <col min="13" max="15" width="10.7109375" style="841" customWidth="1"/>
    <col min="16" max="16" width="10.28125" style="841" customWidth="1"/>
    <col min="17" max="17" width="9.140625" style="841" customWidth="1"/>
    <col min="18" max="18" width="10.140625" style="841" customWidth="1"/>
    <col min="19" max="16384" width="9.140625" style="841" customWidth="1"/>
  </cols>
  <sheetData>
    <row r="1" ht="12.75">
      <c r="Q1" s="842"/>
    </row>
    <row r="2" ht="12.75">
      <c r="Q2" s="842"/>
    </row>
    <row r="3" spans="1:18" ht="15.75">
      <c r="A3" s="1175" t="s">
        <v>83</v>
      </c>
      <c r="B3" s="1175"/>
      <c r="C3" s="1175"/>
      <c r="D3" s="1175"/>
      <c r="E3" s="1175"/>
      <c r="F3" s="1175"/>
      <c r="G3" s="1175"/>
      <c r="H3" s="1175"/>
      <c r="I3" s="1175"/>
      <c r="J3" s="1175"/>
      <c r="K3" s="1175"/>
      <c r="L3" s="1175"/>
      <c r="M3" s="1175"/>
      <c r="N3" s="1175"/>
      <c r="O3" s="1175"/>
      <c r="P3" s="1175"/>
      <c r="Q3" s="1175"/>
      <c r="R3" s="1175"/>
    </row>
    <row r="5" ht="12.75">
      <c r="R5" s="842" t="s">
        <v>132</v>
      </c>
    </row>
    <row r="6" spans="1:18" ht="19.5" customHeight="1">
      <c r="A6" s="1191" t="s">
        <v>441</v>
      </c>
      <c r="B6" s="1192"/>
      <c r="C6" s="1192"/>
      <c r="D6" s="1192"/>
      <c r="E6" s="1192"/>
      <c r="F6" s="1192"/>
      <c r="G6" s="1180" t="s">
        <v>219</v>
      </c>
      <c r="H6" s="1181"/>
      <c r="I6" s="1181"/>
      <c r="J6" s="1181"/>
      <c r="K6" s="1181"/>
      <c r="L6" s="1181"/>
      <c r="M6" s="1181"/>
      <c r="N6" s="1181"/>
      <c r="O6" s="1181"/>
      <c r="P6" s="1182"/>
      <c r="Q6" s="1176" t="s">
        <v>530</v>
      </c>
      <c r="R6" s="1178" t="s">
        <v>459</v>
      </c>
    </row>
    <row r="7" spans="1:18" ht="32.25" customHeight="1">
      <c r="A7" s="1185"/>
      <c r="B7" s="1186"/>
      <c r="C7" s="1186"/>
      <c r="D7" s="1186"/>
      <c r="E7" s="1186"/>
      <c r="F7" s="1186"/>
      <c r="G7" s="1083" t="s">
        <v>2</v>
      </c>
      <c r="H7" s="1083" t="s">
        <v>3</v>
      </c>
      <c r="I7" s="1083" t="s">
        <v>4</v>
      </c>
      <c r="J7" s="1130" t="s">
        <v>5</v>
      </c>
      <c r="K7" s="1086" t="s">
        <v>6</v>
      </c>
      <c r="L7" s="1083" t="s">
        <v>487</v>
      </c>
      <c r="M7" s="1083" t="s">
        <v>496</v>
      </c>
      <c r="N7" s="1087" t="s">
        <v>498</v>
      </c>
      <c r="O7" s="1087" t="s">
        <v>663</v>
      </c>
      <c r="P7" s="1087" t="s">
        <v>7</v>
      </c>
      <c r="Q7" s="1177"/>
      <c r="R7" s="1179"/>
    </row>
    <row r="8" spans="1:20" ht="19.5" customHeight="1">
      <c r="A8" s="1187" t="s">
        <v>198</v>
      </c>
      <c r="B8" s="1188"/>
      <c r="C8" s="1188"/>
      <c r="D8" s="1188"/>
      <c r="E8" s="1188"/>
      <c r="F8" s="1188"/>
      <c r="G8" s="1084"/>
      <c r="H8" s="1084"/>
      <c r="I8" s="1084"/>
      <c r="J8" s="1097"/>
      <c r="K8" s="1097"/>
      <c r="L8" s="1097"/>
      <c r="M8" s="1084"/>
      <c r="N8" s="1084"/>
      <c r="O8" s="1085"/>
      <c r="P8" s="1084"/>
      <c r="Q8" s="1140"/>
      <c r="R8" s="1091"/>
      <c r="T8" s="1090"/>
    </row>
    <row r="9" spans="1:18" ht="19.5" customHeight="1">
      <c r="A9" s="1044"/>
      <c r="B9" s="1173" t="s">
        <v>668</v>
      </c>
      <c r="C9" s="1173"/>
      <c r="D9" s="1173"/>
      <c r="E9" s="1173"/>
      <c r="F9" s="1174"/>
      <c r="G9" s="1105">
        <v>0.014</v>
      </c>
      <c r="H9" s="1105">
        <v>0.017</v>
      </c>
      <c r="I9" s="843">
        <v>0.02</v>
      </c>
      <c r="J9" s="843">
        <v>0.02</v>
      </c>
      <c r="K9" s="843">
        <v>0.02</v>
      </c>
      <c r="L9" s="843">
        <v>0.02</v>
      </c>
      <c r="M9" s="843">
        <v>0.02</v>
      </c>
      <c r="N9" s="843">
        <v>0.02</v>
      </c>
      <c r="O9" s="1041">
        <v>0.02</v>
      </c>
      <c r="P9" s="843">
        <v>0.02</v>
      </c>
      <c r="Q9" s="1141">
        <v>0.02</v>
      </c>
      <c r="R9" s="1092">
        <v>0.02</v>
      </c>
    </row>
    <row r="10" spans="1:18" ht="19.5" customHeight="1">
      <c r="A10" s="1044"/>
      <c r="B10" s="1189" t="s">
        <v>669</v>
      </c>
      <c r="C10" s="1189"/>
      <c r="D10" s="1189"/>
      <c r="E10" s="1189"/>
      <c r="F10" s="1190"/>
      <c r="G10" s="1105">
        <v>0.013</v>
      </c>
      <c r="H10" s="1105">
        <v>0.016</v>
      </c>
      <c r="I10" s="843">
        <v>0.02</v>
      </c>
      <c r="J10" s="843">
        <v>0.02</v>
      </c>
      <c r="K10" s="843">
        <v>0.02</v>
      </c>
      <c r="L10" s="843">
        <v>0.02</v>
      </c>
      <c r="M10" s="843">
        <v>0.02</v>
      </c>
      <c r="N10" s="843">
        <v>0.02</v>
      </c>
      <c r="O10" s="1041">
        <v>0.02</v>
      </c>
      <c r="P10" s="843">
        <v>0.02</v>
      </c>
      <c r="Q10" s="1141">
        <v>0.02</v>
      </c>
      <c r="R10" s="1092">
        <v>0.02</v>
      </c>
    </row>
    <row r="11" spans="1:18" ht="19.5" customHeight="1">
      <c r="A11" s="1193" t="s">
        <v>199</v>
      </c>
      <c r="B11" s="1194"/>
      <c r="C11" s="1194"/>
      <c r="D11" s="1194"/>
      <c r="E11" s="1194"/>
      <c r="F11" s="1194"/>
      <c r="G11" s="826"/>
      <c r="H11" s="826"/>
      <c r="I11" s="826"/>
      <c r="J11" s="826"/>
      <c r="K11" s="826"/>
      <c r="L11" s="826"/>
      <c r="M11" s="826"/>
      <c r="N11" s="826"/>
      <c r="O11" s="1040"/>
      <c r="P11" s="826"/>
      <c r="Q11" s="1142"/>
      <c r="R11" s="1093"/>
    </row>
    <row r="12" spans="1:18" ht="19.5" customHeight="1">
      <c r="A12" s="1044"/>
      <c r="B12" s="1189" t="s">
        <v>668</v>
      </c>
      <c r="C12" s="1189"/>
      <c r="D12" s="1189"/>
      <c r="E12" s="1189"/>
      <c r="F12" s="1190"/>
      <c r="G12" s="845" t="s">
        <v>222</v>
      </c>
      <c r="H12" s="845" t="s">
        <v>222</v>
      </c>
      <c r="I12" s="845" t="s">
        <v>222</v>
      </c>
      <c r="J12" s="845" t="s">
        <v>222</v>
      </c>
      <c r="K12" s="845" t="s">
        <v>222</v>
      </c>
      <c r="L12" s="845" t="s">
        <v>222</v>
      </c>
      <c r="M12" s="845" t="s">
        <v>222</v>
      </c>
      <c r="N12" s="845" t="s">
        <v>222</v>
      </c>
      <c r="O12" s="845" t="s">
        <v>222</v>
      </c>
      <c r="P12" s="845" t="s">
        <v>222</v>
      </c>
      <c r="Q12" s="845" t="s">
        <v>222</v>
      </c>
      <c r="R12" s="1104" t="s">
        <v>222</v>
      </c>
    </row>
    <row r="13" spans="1:18" ht="19.5" customHeight="1">
      <c r="A13" s="1044"/>
      <c r="B13" s="1189" t="s">
        <v>669</v>
      </c>
      <c r="C13" s="1189"/>
      <c r="D13" s="1189"/>
      <c r="E13" s="1189"/>
      <c r="F13" s="1190"/>
      <c r="G13" s="845" t="s">
        <v>223</v>
      </c>
      <c r="H13" s="845" t="s">
        <v>223</v>
      </c>
      <c r="I13" s="845" t="s">
        <v>224</v>
      </c>
      <c r="J13" s="845" t="s">
        <v>224</v>
      </c>
      <c r="K13" s="845" t="s">
        <v>224</v>
      </c>
      <c r="L13" s="845" t="s">
        <v>224</v>
      </c>
      <c r="M13" s="845" t="s">
        <v>224</v>
      </c>
      <c r="N13" s="845" t="s">
        <v>222</v>
      </c>
      <c r="O13" s="845" t="s">
        <v>222</v>
      </c>
      <c r="P13" s="845" t="s">
        <v>222</v>
      </c>
      <c r="Q13" s="845" t="s">
        <v>222</v>
      </c>
      <c r="R13" s="1104" t="s">
        <v>222</v>
      </c>
    </row>
    <row r="14" spans="1:18" ht="19.5" customHeight="1">
      <c r="A14" s="1193" t="s">
        <v>225</v>
      </c>
      <c r="B14" s="1194"/>
      <c r="C14" s="1194"/>
      <c r="D14" s="1194"/>
      <c r="E14" s="1194"/>
      <c r="F14" s="1194"/>
      <c r="G14" s="848">
        <v>1332</v>
      </c>
      <c r="H14" s="848">
        <v>1935</v>
      </c>
      <c r="I14" s="848">
        <v>2179</v>
      </c>
      <c r="J14" s="848">
        <v>2525</v>
      </c>
      <c r="K14" s="848">
        <v>2689</v>
      </c>
      <c r="L14" s="848">
        <v>2759</v>
      </c>
      <c r="M14" s="848">
        <v>2904</v>
      </c>
      <c r="N14" s="848">
        <v>3403</v>
      </c>
      <c r="O14" s="1042">
        <f>SUM(O17,O15)</f>
        <v>3774</v>
      </c>
      <c r="P14" s="848">
        <v>4091</v>
      </c>
      <c r="Q14" s="1143">
        <f>SUM(Q15,Q17)</f>
        <v>4100</v>
      </c>
      <c r="R14" s="1094">
        <f>SUM(R15,R17)</f>
        <v>4330</v>
      </c>
    </row>
    <row r="15" spans="1:18" ht="19.5" customHeight="1">
      <c r="A15" s="1045"/>
      <c r="B15" s="1189" t="s">
        <v>133</v>
      </c>
      <c r="C15" s="1189"/>
      <c r="D15" s="1189"/>
      <c r="E15" s="1189"/>
      <c r="F15" s="1190"/>
      <c r="G15" s="847">
        <v>1186</v>
      </c>
      <c r="H15" s="847">
        <v>1790</v>
      </c>
      <c r="I15" s="847">
        <v>1830</v>
      </c>
      <c r="J15" s="847">
        <v>2194</v>
      </c>
      <c r="K15" s="847">
        <v>2310</v>
      </c>
      <c r="L15" s="847">
        <v>2378</v>
      </c>
      <c r="M15" s="847">
        <v>2515</v>
      </c>
      <c r="N15" s="847">
        <v>2678</v>
      </c>
      <c r="O15" s="1043">
        <v>3009</v>
      </c>
      <c r="P15" s="847">
        <v>3298</v>
      </c>
      <c r="Q15" s="1101">
        <v>3300</v>
      </c>
      <c r="R15" s="1095">
        <v>3500</v>
      </c>
    </row>
    <row r="16" spans="1:18" ht="19.5" customHeight="1">
      <c r="A16" s="1045"/>
      <c r="B16" s="1189" t="s">
        <v>670</v>
      </c>
      <c r="C16" s="1189"/>
      <c r="D16" s="1189"/>
      <c r="E16" s="1189"/>
      <c r="F16" s="1190"/>
      <c r="G16" s="847">
        <v>6148</v>
      </c>
      <c r="H16" s="847">
        <v>5939</v>
      </c>
      <c r="I16" s="847">
        <v>7529</v>
      </c>
      <c r="J16" s="847">
        <v>7142</v>
      </c>
      <c r="K16" s="847">
        <v>7407</v>
      </c>
      <c r="L16" s="847">
        <v>7728</v>
      </c>
      <c r="M16" s="847">
        <v>8286</v>
      </c>
      <c r="N16" s="847">
        <v>8179</v>
      </c>
      <c r="O16" s="1100">
        <v>8454</v>
      </c>
      <c r="P16" s="1101">
        <v>8563</v>
      </c>
      <c r="Q16" s="1101">
        <v>8569</v>
      </c>
      <c r="R16" s="1095">
        <v>8800</v>
      </c>
    </row>
    <row r="17" spans="1:18" ht="19.5" customHeight="1">
      <c r="A17" s="1045"/>
      <c r="B17" s="1189" t="s">
        <v>134</v>
      </c>
      <c r="C17" s="1189"/>
      <c r="D17" s="1189"/>
      <c r="E17" s="1189"/>
      <c r="F17" s="1190"/>
      <c r="G17" s="847">
        <v>146</v>
      </c>
      <c r="H17" s="847">
        <v>145</v>
      </c>
      <c r="I17" s="847">
        <v>349</v>
      </c>
      <c r="J17" s="847">
        <v>331</v>
      </c>
      <c r="K17" s="847">
        <v>379</v>
      </c>
      <c r="L17" s="847">
        <v>381</v>
      </c>
      <c r="M17" s="847">
        <v>389</v>
      </c>
      <c r="N17" s="847">
        <v>725</v>
      </c>
      <c r="O17" s="1100">
        <v>765</v>
      </c>
      <c r="P17" s="1101">
        <v>793</v>
      </c>
      <c r="Q17" s="1101">
        <v>800</v>
      </c>
      <c r="R17" s="1095">
        <v>830</v>
      </c>
    </row>
    <row r="18" spans="1:18" ht="19.5" customHeight="1">
      <c r="A18" s="1046"/>
      <c r="B18" s="1166" t="s">
        <v>671</v>
      </c>
      <c r="C18" s="1166"/>
      <c r="D18" s="1166"/>
      <c r="E18" s="1166"/>
      <c r="F18" s="1167"/>
      <c r="G18" s="871">
        <v>881</v>
      </c>
      <c r="H18" s="871">
        <v>927</v>
      </c>
      <c r="I18" s="871">
        <v>969</v>
      </c>
      <c r="J18" s="871">
        <v>973</v>
      </c>
      <c r="K18" s="871">
        <v>1031</v>
      </c>
      <c r="L18" s="871">
        <v>995</v>
      </c>
      <c r="M18" s="871">
        <v>990</v>
      </c>
      <c r="N18" s="871">
        <v>1016</v>
      </c>
      <c r="O18" s="1102">
        <v>1035</v>
      </c>
      <c r="P18" s="1103">
        <v>1011</v>
      </c>
      <c r="Q18" s="1103">
        <v>1011</v>
      </c>
      <c r="R18" s="1146">
        <v>1003</v>
      </c>
    </row>
    <row r="19" spans="1:16" ht="12.75">
      <c r="A19" s="844"/>
      <c r="B19" s="844"/>
      <c r="C19" s="844"/>
      <c r="D19" s="844"/>
      <c r="E19" s="844"/>
      <c r="F19" s="844"/>
      <c r="G19" s="844"/>
      <c r="H19" s="844"/>
      <c r="I19" s="844"/>
      <c r="J19" s="844"/>
      <c r="K19" s="844"/>
      <c r="L19" s="844"/>
      <c r="M19" s="844"/>
      <c r="N19" s="844"/>
      <c r="O19" s="844"/>
      <c r="P19" s="844"/>
    </row>
    <row r="20" spans="1:17" ht="12.75">
      <c r="A20" s="844"/>
      <c r="B20" s="844"/>
      <c r="C20" s="844"/>
      <c r="D20" s="844"/>
      <c r="E20" s="844"/>
      <c r="F20" s="844"/>
      <c r="G20" s="844"/>
      <c r="H20" s="844"/>
      <c r="I20" s="844"/>
      <c r="J20" s="844"/>
      <c r="K20" s="844"/>
      <c r="L20" s="844"/>
      <c r="M20" s="846"/>
      <c r="N20" s="844"/>
      <c r="O20" s="844"/>
      <c r="P20" s="844"/>
      <c r="Q20" s="846"/>
    </row>
    <row r="21" ht="12.75">
      <c r="A21" s="844"/>
    </row>
    <row r="50" spans="2:17" ht="13.5" thickBot="1">
      <c r="B50" s="844"/>
      <c r="C50" s="844"/>
      <c r="D50" s="844"/>
      <c r="E50" s="844"/>
      <c r="F50" s="844"/>
      <c r="G50" s="844"/>
      <c r="H50" s="844"/>
      <c r="I50" s="844"/>
      <c r="J50" s="844"/>
      <c r="K50" s="844"/>
      <c r="L50" s="844"/>
      <c r="M50" s="844"/>
      <c r="N50" s="844"/>
      <c r="O50" s="844"/>
      <c r="P50" s="844"/>
      <c r="Q50" s="844"/>
    </row>
    <row r="51" spans="2:18" ht="13.5" thickTop="1">
      <c r="B51" s="1164"/>
      <c r="C51" s="1164"/>
      <c r="D51" s="1164"/>
      <c r="E51" s="1164"/>
      <c r="F51" s="1165"/>
      <c r="G51" s="840"/>
      <c r="H51" s="840">
        <v>1999</v>
      </c>
      <c r="I51" s="840">
        <v>2000</v>
      </c>
      <c r="J51" s="849">
        <v>2001</v>
      </c>
      <c r="K51" s="850">
        <v>2002</v>
      </c>
      <c r="L51" s="840">
        <v>2003</v>
      </c>
      <c r="M51" s="840">
        <v>2004</v>
      </c>
      <c r="N51" s="840">
        <v>2005</v>
      </c>
      <c r="O51" s="1096">
        <v>2006</v>
      </c>
      <c r="P51" s="1096">
        <v>2007</v>
      </c>
      <c r="Q51" s="1096" t="s">
        <v>531</v>
      </c>
      <c r="R51" s="1096" t="s">
        <v>464</v>
      </c>
    </row>
    <row r="52" spans="2:18" ht="12.75">
      <c r="B52" s="1183" t="s">
        <v>178</v>
      </c>
      <c r="C52" s="1183"/>
      <c r="D52" s="1183"/>
      <c r="E52" s="1183"/>
      <c r="F52" s="1184"/>
      <c r="G52" s="851"/>
      <c r="H52" s="851">
        <f aca="true" t="shared" si="0" ref="H52:O52">H15</f>
        <v>1790</v>
      </c>
      <c r="I52" s="851">
        <f t="shared" si="0"/>
        <v>1830</v>
      </c>
      <c r="J52" s="851">
        <f t="shared" si="0"/>
        <v>2194</v>
      </c>
      <c r="K52" s="851">
        <f t="shared" si="0"/>
        <v>2310</v>
      </c>
      <c r="L52" s="851">
        <f t="shared" si="0"/>
        <v>2378</v>
      </c>
      <c r="M52" s="851">
        <f t="shared" si="0"/>
        <v>2515</v>
      </c>
      <c r="N52" s="851">
        <f t="shared" si="0"/>
        <v>2678</v>
      </c>
      <c r="O52" s="851">
        <f t="shared" si="0"/>
        <v>3009</v>
      </c>
      <c r="P52" s="851">
        <f>P15</f>
        <v>3298</v>
      </c>
      <c r="Q52" s="851">
        <f>Q15</f>
        <v>3300</v>
      </c>
      <c r="R52" s="851">
        <f>R15</f>
        <v>3500</v>
      </c>
    </row>
    <row r="53" spans="2:18" ht="12.75">
      <c r="B53" s="1183" t="s">
        <v>177</v>
      </c>
      <c r="C53" s="1183"/>
      <c r="D53" s="1183"/>
      <c r="E53" s="1183"/>
      <c r="F53" s="1184"/>
      <c r="G53" s="851"/>
      <c r="H53" s="851">
        <f aca="true" t="shared" si="1" ref="H53:O53">H17</f>
        <v>145</v>
      </c>
      <c r="I53" s="851">
        <f t="shared" si="1"/>
        <v>349</v>
      </c>
      <c r="J53" s="851">
        <f t="shared" si="1"/>
        <v>331</v>
      </c>
      <c r="K53" s="851">
        <f t="shared" si="1"/>
        <v>379</v>
      </c>
      <c r="L53" s="851">
        <f t="shared" si="1"/>
        <v>381</v>
      </c>
      <c r="M53" s="851">
        <f t="shared" si="1"/>
        <v>389</v>
      </c>
      <c r="N53" s="851">
        <f t="shared" si="1"/>
        <v>725</v>
      </c>
      <c r="O53" s="851">
        <f t="shared" si="1"/>
        <v>765</v>
      </c>
      <c r="P53" s="851">
        <f>P17</f>
        <v>793</v>
      </c>
      <c r="Q53" s="841">
        <f>Q17</f>
        <v>800</v>
      </c>
      <c r="R53" s="841">
        <f>R17</f>
        <v>830</v>
      </c>
    </row>
  </sheetData>
  <mergeCells count="19">
    <mergeCell ref="B52:F52"/>
    <mergeCell ref="B16:F16"/>
    <mergeCell ref="B53:F53"/>
    <mergeCell ref="B51:F51"/>
    <mergeCell ref="B18:F18"/>
    <mergeCell ref="B17:F17"/>
    <mergeCell ref="A3:R3"/>
    <mergeCell ref="B12:F12"/>
    <mergeCell ref="B13:F13"/>
    <mergeCell ref="A11:F11"/>
    <mergeCell ref="Q6:Q7"/>
    <mergeCell ref="R6:R7"/>
    <mergeCell ref="G6:P6"/>
    <mergeCell ref="A14:F14"/>
    <mergeCell ref="B15:F15"/>
    <mergeCell ref="A6:F7"/>
    <mergeCell ref="A8:F8"/>
    <mergeCell ref="B9:F9"/>
    <mergeCell ref="B10:F10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72" r:id="rId2"/>
  <rowBreaks count="1" manualBreakCount="1">
    <brk id="42" max="1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AC108"/>
  <sheetViews>
    <sheetView workbookViewId="0" topLeftCell="A1">
      <selection activeCell="C13" sqref="C13"/>
    </sheetView>
  </sheetViews>
  <sheetFormatPr defaultColWidth="9.140625" defaultRowHeight="12.75"/>
  <cols>
    <col min="1" max="1" width="9.140625" style="876" customWidth="1"/>
    <col min="2" max="2" width="28.8515625" style="876" customWidth="1"/>
    <col min="3" max="4" width="13.140625" style="876" hidden="1" customWidth="1"/>
    <col min="5" max="11" width="13.140625" style="876" customWidth="1"/>
    <col min="12" max="12" width="12.8515625" style="876" customWidth="1"/>
    <col min="13" max="13" width="12.57421875" style="876" customWidth="1"/>
    <col min="14" max="14" width="11.8515625" style="876" customWidth="1"/>
    <col min="15" max="16384" width="9.140625" style="876" customWidth="1"/>
  </cols>
  <sheetData>
    <row r="1" ht="12.75">
      <c r="K1" s="878"/>
    </row>
    <row r="2" spans="2:14" ht="15.75">
      <c r="B2" s="1205" t="s">
        <v>84</v>
      </c>
      <c r="C2" s="1205"/>
      <c r="D2" s="1205"/>
      <c r="E2" s="1205"/>
      <c r="F2" s="1205"/>
      <c r="G2" s="1205"/>
      <c r="H2" s="1205"/>
      <c r="I2" s="1205"/>
      <c r="J2" s="1205"/>
      <c r="K2" s="1205"/>
      <c r="L2" s="1205"/>
      <c r="M2" s="1205"/>
      <c r="N2" s="1205"/>
    </row>
    <row r="3" spans="2:11" ht="12.75">
      <c r="B3" s="1026"/>
      <c r="C3" s="1026"/>
      <c r="D3" s="1026"/>
      <c r="E3" s="1026"/>
      <c r="F3" s="1026"/>
      <c r="G3" s="1026"/>
      <c r="H3" s="1026"/>
      <c r="I3" s="1026"/>
      <c r="J3" s="1026"/>
      <c r="K3" s="1026"/>
    </row>
    <row r="4" spans="2:11" ht="12.75">
      <c r="B4" s="1026"/>
      <c r="C4" s="1026"/>
      <c r="D4" s="1026"/>
      <c r="E4" s="1026"/>
      <c r="F4" s="1026"/>
      <c r="G4" s="1026"/>
      <c r="H4" s="1026"/>
      <c r="I4" s="1026"/>
      <c r="J4" s="1026"/>
      <c r="K4" s="1026"/>
    </row>
    <row r="5" ht="12.75">
      <c r="N5" s="878" t="s">
        <v>131</v>
      </c>
    </row>
    <row r="6" spans="1:14" ht="15.75" customHeight="1">
      <c r="A6" s="1203" t="s">
        <v>254</v>
      </c>
      <c r="B6" s="1156" t="s">
        <v>441</v>
      </c>
      <c r="C6" s="1170" t="s">
        <v>219</v>
      </c>
      <c r="D6" s="1171"/>
      <c r="E6" s="1171"/>
      <c r="F6" s="1171"/>
      <c r="G6" s="1171"/>
      <c r="H6" s="1171"/>
      <c r="I6" s="1171"/>
      <c r="J6" s="1171"/>
      <c r="K6" s="1171"/>
      <c r="L6" s="1172"/>
      <c r="M6" s="1158" t="s">
        <v>532</v>
      </c>
      <c r="N6" s="1168" t="s">
        <v>389</v>
      </c>
    </row>
    <row r="7" spans="1:14" ht="15.75" customHeight="1">
      <c r="A7" s="1204"/>
      <c r="B7" s="1157"/>
      <c r="C7" s="1106" t="s">
        <v>2</v>
      </c>
      <c r="D7" s="1106" t="s">
        <v>3</v>
      </c>
      <c r="E7" s="1106" t="s">
        <v>4</v>
      </c>
      <c r="F7" s="1106" t="s">
        <v>5</v>
      </c>
      <c r="G7" s="1106" t="s">
        <v>6</v>
      </c>
      <c r="H7" s="1106" t="s">
        <v>487</v>
      </c>
      <c r="I7" s="1106" t="s">
        <v>496</v>
      </c>
      <c r="J7" s="1106" t="s">
        <v>498</v>
      </c>
      <c r="K7" s="1106" t="s">
        <v>663</v>
      </c>
      <c r="L7" s="1106" t="s">
        <v>7</v>
      </c>
      <c r="M7" s="1159"/>
      <c r="N7" s="1169"/>
    </row>
    <row r="8" spans="1:14" ht="14.25" customHeight="1">
      <c r="A8" s="994">
        <v>1</v>
      </c>
      <c r="B8" s="1027" t="s">
        <v>435</v>
      </c>
      <c r="C8" s="1107">
        <v>111280</v>
      </c>
      <c r="D8" s="1107">
        <v>324858</v>
      </c>
      <c r="E8" s="1107">
        <v>477944</v>
      </c>
      <c r="F8" s="1108">
        <v>916692</v>
      </c>
      <c r="G8" s="1107">
        <v>492071</v>
      </c>
      <c r="H8" s="1107">
        <v>379949</v>
      </c>
      <c r="I8" s="1107">
        <v>189090</v>
      </c>
      <c r="J8" s="1107">
        <v>333404</v>
      </c>
      <c r="K8" s="1107">
        <v>526673</v>
      </c>
      <c r="L8" s="1107">
        <v>113110</v>
      </c>
      <c r="M8" s="1107">
        <v>663000</v>
      </c>
      <c r="N8" s="1109">
        <v>200000</v>
      </c>
    </row>
    <row r="9" spans="1:14" ht="14.25" customHeight="1">
      <c r="A9" s="1018">
        <v>2</v>
      </c>
      <c r="B9" s="1028" t="s">
        <v>436</v>
      </c>
      <c r="C9" s="1110">
        <v>217944</v>
      </c>
      <c r="D9" s="1110">
        <v>38713</v>
      </c>
      <c r="E9" s="1110">
        <v>54678</v>
      </c>
      <c r="F9" s="1111">
        <v>114636</v>
      </c>
      <c r="G9" s="1110">
        <v>148942</v>
      </c>
      <c r="H9" s="1110">
        <v>262322</v>
      </c>
      <c r="I9" s="1110">
        <v>516734</v>
      </c>
      <c r="J9" s="1110">
        <v>801849</v>
      </c>
      <c r="K9" s="1110">
        <v>369095</v>
      </c>
      <c r="L9" s="1110">
        <v>12663</v>
      </c>
      <c r="M9" s="1110">
        <v>10000</v>
      </c>
      <c r="N9" s="1112">
        <v>9000</v>
      </c>
    </row>
    <row r="10" spans="1:14" ht="14.25" customHeight="1">
      <c r="A10" s="1029">
        <v>3</v>
      </c>
      <c r="B10" s="1030" t="s">
        <v>437</v>
      </c>
      <c r="C10" s="1113">
        <v>82027</v>
      </c>
      <c r="D10" s="1113">
        <v>195698</v>
      </c>
      <c r="E10" s="1113">
        <v>256012</v>
      </c>
      <c r="F10" s="1113">
        <v>155079</v>
      </c>
      <c r="G10" s="1113">
        <v>126901</v>
      </c>
      <c r="H10" s="1113"/>
      <c r="I10" s="1113">
        <v>51135</v>
      </c>
      <c r="J10" s="1113"/>
      <c r="K10" s="1113">
        <v>103392</v>
      </c>
      <c r="L10" s="1113">
        <v>54978</v>
      </c>
      <c r="M10" s="1113">
        <v>47656</v>
      </c>
      <c r="N10" s="1114">
        <v>48324</v>
      </c>
    </row>
    <row r="11" spans="1:14" s="998" customFormat="1" ht="25.5">
      <c r="A11" s="1035">
        <v>4</v>
      </c>
      <c r="B11" s="1020" t="s">
        <v>442</v>
      </c>
      <c r="C11" s="1115">
        <f>SUM(C8:C10)</f>
        <v>411251</v>
      </c>
      <c r="D11" s="1115">
        <f aca="true" t="shared" si="0" ref="D11:N11">SUM(D8:D10)</f>
        <v>559269</v>
      </c>
      <c r="E11" s="1115">
        <f t="shared" si="0"/>
        <v>788634</v>
      </c>
      <c r="F11" s="1115">
        <f t="shared" si="0"/>
        <v>1186407</v>
      </c>
      <c r="G11" s="1115">
        <f t="shared" si="0"/>
        <v>767914</v>
      </c>
      <c r="H11" s="1115">
        <f t="shared" si="0"/>
        <v>642271</v>
      </c>
      <c r="I11" s="1115">
        <f t="shared" si="0"/>
        <v>756959</v>
      </c>
      <c r="J11" s="1115">
        <f t="shared" si="0"/>
        <v>1135253</v>
      </c>
      <c r="K11" s="1115">
        <f t="shared" si="0"/>
        <v>999160</v>
      </c>
      <c r="L11" s="1115">
        <f t="shared" si="0"/>
        <v>180751</v>
      </c>
      <c r="M11" s="1115">
        <f t="shared" si="0"/>
        <v>720656</v>
      </c>
      <c r="N11" s="1116">
        <f t="shared" si="0"/>
        <v>257324</v>
      </c>
    </row>
    <row r="12" spans="1:14" ht="14.25" customHeight="1">
      <c r="A12" s="994">
        <v>5</v>
      </c>
      <c r="B12" s="1027" t="s">
        <v>444</v>
      </c>
      <c r="C12" s="1107">
        <v>118641</v>
      </c>
      <c r="D12" s="1107">
        <v>4103</v>
      </c>
      <c r="E12" s="1107"/>
      <c r="F12" s="1108">
        <f>311828+78932</f>
        <v>390760</v>
      </c>
      <c r="G12" s="1107">
        <v>320335</v>
      </c>
      <c r="H12" s="1107">
        <v>59005</v>
      </c>
      <c r="I12" s="1107"/>
      <c r="J12" s="1107">
        <v>13407</v>
      </c>
      <c r="K12" s="1117">
        <v>0</v>
      </c>
      <c r="L12" s="1117">
        <v>0</v>
      </c>
      <c r="M12" s="1117">
        <v>0</v>
      </c>
      <c r="N12" s="1118">
        <v>0</v>
      </c>
    </row>
    <row r="13" spans="1:14" ht="14.25" customHeight="1">
      <c r="A13" s="1127">
        <v>6</v>
      </c>
      <c r="B13" s="1032" t="s">
        <v>443</v>
      </c>
      <c r="C13" s="1119">
        <f>C12+C11</f>
        <v>529892</v>
      </c>
      <c r="D13" s="1119">
        <f aca="true" t="shared" si="1" ref="D13:N13">D12+D11</f>
        <v>563372</v>
      </c>
      <c r="E13" s="1119">
        <f t="shared" si="1"/>
        <v>788634</v>
      </c>
      <c r="F13" s="1119">
        <f t="shared" si="1"/>
        <v>1577167</v>
      </c>
      <c r="G13" s="1119">
        <f t="shared" si="1"/>
        <v>1088249</v>
      </c>
      <c r="H13" s="1119">
        <f t="shared" si="1"/>
        <v>701276</v>
      </c>
      <c r="I13" s="1119">
        <f t="shared" si="1"/>
        <v>756959</v>
      </c>
      <c r="J13" s="1119">
        <f t="shared" si="1"/>
        <v>1148660</v>
      </c>
      <c r="K13" s="1119">
        <f t="shared" si="1"/>
        <v>999160</v>
      </c>
      <c r="L13" s="1119">
        <f t="shared" si="1"/>
        <v>180751</v>
      </c>
      <c r="M13" s="1119">
        <f t="shared" si="1"/>
        <v>720656</v>
      </c>
      <c r="N13" s="1120">
        <f t="shared" si="1"/>
        <v>257324</v>
      </c>
    </row>
    <row r="14" spans="1:14" ht="14.25" customHeight="1">
      <c r="A14" s="1018">
        <v>7</v>
      </c>
      <c r="B14" s="1028" t="s">
        <v>438</v>
      </c>
      <c r="C14" s="1110">
        <v>226981</v>
      </c>
      <c r="D14" s="1110">
        <v>224316</v>
      </c>
      <c r="E14" s="1110">
        <v>248179</v>
      </c>
      <c r="F14" s="1111">
        <v>241931</v>
      </c>
      <c r="G14" s="1110">
        <v>267692</v>
      </c>
      <c r="H14" s="1110">
        <v>285714</v>
      </c>
      <c r="I14" s="1110">
        <v>276002</v>
      </c>
      <c r="J14" s="1110">
        <v>226683</v>
      </c>
      <c r="K14" s="1079">
        <v>148327</v>
      </c>
      <c r="L14" s="1079">
        <v>141111</v>
      </c>
      <c r="M14" s="1079">
        <v>118207</v>
      </c>
      <c r="N14" s="1121">
        <v>130609</v>
      </c>
    </row>
    <row r="15" spans="1:14" ht="14.25" customHeight="1">
      <c r="A15" s="1018">
        <v>8</v>
      </c>
      <c r="B15" s="1028" t="s">
        <v>439</v>
      </c>
      <c r="C15" s="1110">
        <v>3878</v>
      </c>
      <c r="D15" s="1110">
        <v>14739</v>
      </c>
      <c r="E15" s="1110">
        <v>15409</v>
      </c>
      <c r="F15" s="1111">
        <v>11404</v>
      </c>
      <c r="G15" s="1110">
        <v>20317</v>
      </c>
      <c r="H15" s="1110">
        <v>32355</v>
      </c>
      <c r="I15" s="1110">
        <v>74537</v>
      </c>
      <c r="J15" s="1110">
        <v>34986</v>
      </c>
      <c r="K15" s="1079">
        <v>0</v>
      </c>
      <c r="L15" s="1079">
        <v>167287</v>
      </c>
      <c r="M15" s="1079">
        <v>80000</v>
      </c>
      <c r="N15" s="1121">
        <v>65000</v>
      </c>
    </row>
    <row r="16" spans="1:14" ht="14.25" customHeight="1">
      <c r="A16" s="1029">
        <v>9</v>
      </c>
      <c r="B16" s="1030" t="s">
        <v>440</v>
      </c>
      <c r="C16" s="1113">
        <v>428455</v>
      </c>
      <c r="D16" s="1113">
        <v>514243</v>
      </c>
      <c r="E16" s="1113">
        <v>167165</v>
      </c>
      <c r="F16" s="1122">
        <v>365858</v>
      </c>
      <c r="G16" s="1113">
        <v>115352</v>
      </c>
      <c r="H16" s="1113">
        <v>121628</v>
      </c>
      <c r="I16" s="1113">
        <v>61764</v>
      </c>
      <c r="J16" s="1113">
        <v>252339</v>
      </c>
      <c r="K16" s="1123">
        <v>140162</v>
      </c>
      <c r="L16" s="1123">
        <v>259754</v>
      </c>
      <c r="M16" s="1123">
        <v>227800</v>
      </c>
      <c r="N16" s="1124">
        <f>149257+125400</f>
        <v>274657</v>
      </c>
    </row>
    <row r="17" spans="1:14" ht="25.5">
      <c r="A17" s="1019">
        <v>10</v>
      </c>
      <c r="B17" s="1020" t="s">
        <v>195</v>
      </c>
      <c r="C17" s="1125">
        <f>C16+C15+C14+C12+C11</f>
        <v>1189206</v>
      </c>
      <c r="D17" s="1125">
        <f aca="true" t="shared" si="2" ref="D17:N17">D16+D15+D14+D12+D11</f>
        <v>1316670</v>
      </c>
      <c r="E17" s="1125">
        <f t="shared" si="2"/>
        <v>1219387</v>
      </c>
      <c r="F17" s="1125">
        <f t="shared" si="2"/>
        <v>2196360</v>
      </c>
      <c r="G17" s="1125">
        <f t="shared" si="2"/>
        <v>1491610</v>
      </c>
      <c r="H17" s="1125">
        <f t="shared" si="2"/>
        <v>1140973</v>
      </c>
      <c r="I17" s="1125">
        <f t="shared" si="2"/>
        <v>1169262</v>
      </c>
      <c r="J17" s="1125">
        <f t="shared" si="2"/>
        <v>1662668</v>
      </c>
      <c r="K17" s="1125">
        <f t="shared" si="2"/>
        <v>1287649</v>
      </c>
      <c r="L17" s="1125">
        <f t="shared" si="2"/>
        <v>748903</v>
      </c>
      <c r="M17" s="1125">
        <f t="shared" si="2"/>
        <v>1146663</v>
      </c>
      <c r="N17" s="1126">
        <f t="shared" si="2"/>
        <v>727590</v>
      </c>
    </row>
    <row r="18" spans="1:12" ht="12.75">
      <c r="A18" s="867"/>
      <c r="B18" s="1004"/>
      <c r="C18" s="1004"/>
      <c r="D18" s="1004"/>
      <c r="E18" s="1004"/>
      <c r="F18" s="1004"/>
      <c r="G18" s="1004"/>
      <c r="H18" s="1004"/>
      <c r="I18" s="1004"/>
      <c r="J18" s="1004"/>
      <c r="K18" s="1004"/>
      <c r="L18" s="867"/>
    </row>
    <row r="19" spans="1:12" ht="12.75">
      <c r="A19" s="867"/>
      <c r="B19" s="1004"/>
      <c r="C19" s="1004"/>
      <c r="D19" s="1004"/>
      <c r="E19" s="1004"/>
      <c r="F19" s="1004"/>
      <c r="G19" s="1004"/>
      <c r="H19" s="1004"/>
      <c r="I19" s="1004"/>
      <c r="J19" s="1004"/>
      <c r="K19" s="1004"/>
      <c r="L19" s="867"/>
    </row>
    <row r="20" spans="1:12" ht="12.75">
      <c r="A20" s="867"/>
      <c r="B20" s="1004"/>
      <c r="C20" s="1004"/>
      <c r="D20" s="1004"/>
      <c r="E20" s="1004"/>
      <c r="F20" s="1004"/>
      <c r="G20" s="1004"/>
      <c r="H20" s="1004"/>
      <c r="I20" s="1004"/>
      <c r="J20" s="1004"/>
      <c r="K20" s="1004"/>
      <c r="L20" s="867"/>
    </row>
    <row r="21" spans="1:12" ht="12.75">
      <c r="A21" s="867"/>
      <c r="B21" s="1004"/>
      <c r="C21" s="1004"/>
      <c r="D21" s="1004"/>
      <c r="E21" s="1004"/>
      <c r="F21" s="1004"/>
      <c r="G21" s="1004"/>
      <c r="H21" s="1004"/>
      <c r="I21" s="1004"/>
      <c r="J21" s="1004"/>
      <c r="K21" s="1004"/>
      <c r="L21" s="867"/>
    </row>
    <row r="22" spans="1:14" ht="15.75">
      <c r="A22" s="1205" t="s">
        <v>85</v>
      </c>
      <c r="B22" s="1205"/>
      <c r="C22" s="1205"/>
      <c r="D22" s="1205"/>
      <c r="E22" s="1205"/>
      <c r="F22" s="1205"/>
      <c r="G22" s="1205"/>
      <c r="H22" s="1205"/>
      <c r="I22" s="1205"/>
      <c r="J22" s="1205"/>
      <c r="K22" s="1205"/>
      <c r="L22" s="1205"/>
      <c r="M22" s="1205"/>
      <c r="N22" s="1205"/>
    </row>
    <row r="23" spans="2:11" ht="12.75">
      <c r="B23" s="1034"/>
      <c r="C23" s="1034"/>
      <c r="D23" s="1034"/>
      <c r="E23" s="1034"/>
      <c r="F23" s="1034"/>
      <c r="G23" s="1034"/>
      <c r="H23" s="1034"/>
      <c r="I23" s="1034"/>
      <c r="J23" s="1034"/>
      <c r="K23" s="1034"/>
    </row>
    <row r="24" spans="2:11" ht="12.75">
      <c r="B24" s="1034"/>
      <c r="C24" s="1034"/>
      <c r="D24" s="1034"/>
      <c r="E24" s="1034"/>
      <c r="F24" s="1034"/>
      <c r="G24" s="1034"/>
      <c r="H24" s="1034"/>
      <c r="I24" s="1034"/>
      <c r="J24" s="1034"/>
      <c r="K24" s="1034"/>
    </row>
    <row r="25" spans="1:14" ht="15" customHeight="1">
      <c r="A25" s="1203" t="s">
        <v>254</v>
      </c>
      <c r="B25" s="1156" t="s">
        <v>441</v>
      </c>
      <c r="C25" s="1170" t="s">
        <v>219</v>
      </c>
      <c r="D25" s="1171"/>
      <c r="E25" s="1171"/>
      <c r="F25" s="1171"/>
      <c r="G25" s="1171"/>
      <c r="H25" s="1171"/>
      <c r="I25" s="1171"/>
      <c r="J25" s="1171"/>
      <c r="K25" s="1171"/>
      <c r="L25" s="1172"/>
      <c r="M25" s="1162" t="s">
        <v>532</v>
      </c>
      <c r="N25" s="1160" t="s">
        <v>389</v>
      </c>
    </row>
    <row r="26" spans="1:14" ht="15" customHeight="1">
      <c r="A26" s="1204"/>
      <c r="B26" s="1157"/>
      <c r="C26" s="839" t="s">
        <v>2</v>
      </c>
      <c r="D26" s="839" t="s">
        <v>3</v>
      </c>
      <c r="E26" s="839" t="s">
        <v>4</v>
      </c>
      <c r="F26" s="839" t="s">
        <v>5</v>
      </c>
      <c r="G26" s="839" t="s">
        <v>6</v>
      </c>
      <c r="H26" s="839" t="s">
        <v>487</v>
      </c>
      <c r="I26" s="839" t="s">
        <v>496</v>
      </c>
      <c r="J26" s="839" t="s">
        <v>498</v>
      </c>
      <c r="K26" s="839" t="s">
        <v>663</v>
      </c>
      <c r="L26" s="839" t="s">
        <v>7</v>
      </c>
      <c r="M26" s="1163"/>
      <c r="N26" s="1161"/>
    </row>
    <row r="27" spans="1:14" ht="15" customHeight="1">
      <c r="A27" s="994">
        <v>1</v>
      </c>
      <c r="B27" s="1027" t="s">
        <v>435</v>
      </c>
      <c r="C27" s="833">
        <f aca="true" t="shared" si="3" ref="C27:K27">C8/C$17</f>
        <v>0.09357504082555924</v>
      </c>
      <c r="D27" s="833">
        <f t="shared" si="3"/>
        <v>0.24672697031146756</v>
      </c>
      <c r="E27" s="833">
        <f t="shared" si="3"/>
        <v>0.39195431803028896</v>
      </c>
      <c r="F27" s="833">
        <f t="shared" si="3"/>
        <v>0.4173687373654592</v>
      </c>
      <c r="G27" s="833">
        <f t="shared" si="3"/>
        <v>0.32989253223027465</v>
      </c>
      <c r="H27" s="833">
        <f t="shared" si="3"/>
        <v>0.33300437433664076</v>
      </c>
      <c r="I27" s="833">
        <f t="shared" si="3"/>
        <v>0.16171739096968857</v>
      </c>
      <c r="J27" s="833">
        <f t="shared" si="3"/>
        <v>0.2005234959715349</v>
      </c>
      <c r="K27" s="833">
        <f t="shared" si="3"/>
        <v>0.4090190727442028</v>
      </c>
      <c r="L27" s="833">
        <f aca="true" t="shared" si="4" ref="L27:L35">L8/$L$17</f>
        <v>0.1510342460906152</v>
      </c>
      <c r="M27" s="833">
        <f aca="true" t="shared" si="5" ref="M27:N35">M8/$M$17</f>
        <v>0.5781995233124292</v>
      </c>
      <c r="N27" s="874">
        <f>N8/$N$17</f>
        <v>0.27488008356354543</v>
      </c>
    </row>
    <row r="28" spans="1:14" ht="15" customHeight="1">
      <c r="A28" s="1018">
        <v>2</v>
      </c>
      <c r="B28" s="1028" t="s">
        <v>436</v>
      </c>
      <c r="C28" s="834">
        <f aca="true" t="shared" si="6" ref="C28:K28">C9/C$17</f>
        <v>0.18326850015892956</v>
      </c>
      <c r="D28" s="834">
        <f t="shared" si="6"/>
        <v>0.02940220404505305</v>
      </c>
      <c r="E28" s="834">
        <f t="shared" si="6"/>
        <v>0.04484056333223169</v>
      </c>
      <c r="F28" s="834">
        <f t="shared" si="6"/>
        <v>0.052193629459651426</v>
      </c>
      <c r="G28" s="834">
        <f t="shared" si="6"/>
        <v>0.099853178779976</v>
      </c>
      <c r="H28" s="834">
        <f t="shared" si="6"/>
        <v>0.22991078667067494</v>
      </c>
      <c r="I28" s="834">
        <f t="shared" si="6"/>
        <v>0.44193174840198346</v>
      </c>
      <c r="J28" s="834">
        <f t="shared" si="6"/>
        <v>0.4822664536756586</v>
      </c>
      <c r="K28" s="834">
        <f t="shared" si="6"/>
        <v>0.28664255554114515</v>
      </c>
      <c r="L28" s="834">
        <f t="shared" si="4"/>
        <v>0.016908731838435685</v>
      </c>
      <c r="M28" s="833">
        <f t="shared" si="5"/>
        <v>0.008720958119342823</v>
      </c>
      <c r="N28" s="874">
        <f>N9/$N$17</f>
        <v>0.012369603760359543</v>
      </c>
    </row>
    <row r="29" spans="1:14" ht="15" customHeight="1">
      <c r="A29" s="1029">
        <v>3</v>
      </c>
      <c r="B29" s="1030" t="s">
        <v>437</v>
      </c>
      <c r="C29" s="835">
        <f aca="true" t="shared" si="7" ref="C29:K29">C10/C$17</f>
        <v>0.06897627492629536</v>
      </c>
      <c r="D29" s="835">
        <f t="shared" si="7"/>
        <v>0.1486310161240098</v>
      </c>
      <c r="E29" s="835">
        <f t="shared" si="7"/>
        <v>0.209951393610068</v>
      </c>
      <c r="F29" s="835">
        <f t="shared" si="7"/>
        <v>0.07060727749549255</v>
      </c>
      <c r="G29" s="835">
        <f t="shared" si="7"/>
        <v>0.08507652804687553</v>
      </c>
      <c r="H29" s="835">
        <f t="shared" si="7"/>
        <v>0</v>
      </c>
      <c r="I29" s="835">
        <f t="shared" si="7"/>
        <v>0.04373271345515376</v>
      </c>
      <c r="J29" s="835">
        <f t="shared" si="7"/>
        <v>0</v>
      </c>
      <c r="K29" s="835">
        <f t="shared" si="7"/>
        <v>0.08029517360709323</v>
      </c>
      <c r="L29" s="835">
        <f t="shared" si="4"/>
        <v>0.07341137637317516</v>
      </c>
      <c r="M29" s="833">
        <f t="shared" si="5"/>
        <v>0.04156059801354016</v>
      </c>
      <c r="N29" s="874">
        <f>N10/$N$17</f>
        <v>0.06641652579062383</v>
      </c>
    </row>
    <row r="30" spans="1:14" ht="25.5">
      <c r="A30" s="1035">
        <v>4</v>
      </c>
      <c r="B30" s="1020" t="s">
        <v>442</v>
      </c>
      <c r="C30" s="1024">
        <f aca="true" t="shared" si="8" ref="C30:K30">C11/C$17</f>
        <v>0.34581981591078415</v>
      </c>
      <c r="D30" s="1024">
        <f t="shared" si="8"/>
        <v>0.42476019048053043</v>
      </c>
      <c r="E30" s="1024">
        <f t="shared" si="8"/>
        <v>0.6467462749725886</v>
      </c>
      <c r="F30" s="1024">
        <f t="shared" si="8"/>
        <v>0.5401696443206032</v>
      </c>
      <c r="G30" s="1024">
        <f t="shared" si="8"/>
        <v>0.5148222390571262</v>
      </c>
      <c r="H30" s="1024">
        <f t="shared" si="8"/>
        <v>0.5629151610073156</v>
      </c>
      <c r="I30" s="1024">
        <f t="shared" si="8"/>
        <v>0.6473818528268258</v>
      </c>
      <c r="J30" s="1024">
        <f t="shared" si="8"/>
        <v>0.6827899496471935</v>
      </c>
      <c r="K30" s="1024">
        <f t="shared" si="8"/>
        <v>0.7759568018924412</v>
      </c>
      <c r="L30" s="1024">
        <f t="shared" si="4"/>
        <v>0.24135435430222604</v>
      </c>
      <c r="M30" s="1024">
        <f t="shared" si="5"/>
        <v>0.6284810794453122</v>
      </c>
      <c r="N30" s="1025">
        <f t="shared" si="5"/>
        <v>0.22441118271017726</v>
      </c>
    </row>
    <row r="31" spans="1:14" ht="14.25" customHeight="1">
      <c r="A31" s="994">
        <v>5</v>
      </c>
      <c r="B31" s="1027" t="s">
        <v>444</v>
      </c>
      <c r="C31" s="833">
        <f aca="true" t="shared" si="9" ref="C31:K31">C12/C$17</f>
        <v>0.09976488514185095</v>
      </c>
      <c r="D31" s="833">
        <f t="shared" si="9"/>
        <v>0.003116194642545209</v>
      </c>
      <c r="E31" s="833">
        <f t="shared" si="9"/>
        <v>0</v>
      </c>
      <c r="F31" s="833">
        <f t="shared" si="9"/>
        <v>0.17791254621282485</v>
      </c>
      <c r="G31" s="833">
        <f t="shared" si="9"/>
        <v>0.21475787907026636</v>
      </c>
      <c r="H31" s="833">
        <f t="shared" si="9"/>
        <v>0.051714633036890445</v>
      </c>
      <c r="I31" s="833">
        <f t="shared" si="9"/>
        <v>0</v>
      </c>
      <c r="J31" s="833">
        <f t="shared" si="9"/>
        <v>0.008063546059706448</v>
      </c>
      <c r="K31" s="833">
        <f t="shared" si="9"/>
        <v>0</v>
      </c>
      <c r="L31" s="833">
        <f t="shared" si="4"/>
        <v>0</v>
      </c>
      <c r="M31" s="833">
        <f t="shared" si="5"/>
        <v>0</v>
      </c>
      <c r="N31" s="874">
        <f>N12/$N$17</f>
        <v>0</v>
      </c>
    </row>
    <row r="32" spans="1:14" ht="14.25" customHeight="1">
      <c r="A32" s="1018">
        <v>6</v>
      </c>
      <c r="B32" s="1032" t="s">
        <v>443</v>
      </c>
      <c r="C32" s="834">
        <f>C13/C17</f>
        <v>0.44558470105263515</v>
      </c>
      <c r="D32" s="834">
        <f aca="true" t="shared" si="10" ref="D32:J32">D13/D17</f>
        <v>0.42787638512307563</v>
      </c>
      <c r="E32" s="834">
        <f t="shared" si="10"/>
        <v>0.6467462749725886</v>
      </c>
      <c r="F32" s="834">
        <f t="shared" si="10"/>
        <v>0.718082190533428</v>
      </c>
      <c r="G32" s="834">
        <f t="shared" si="10"/>
        <v>0.7295801181273925</v>
      </c>
      <c r="H32" s="834">
        <f t="shared" si="10"/>
        <v>0.6146297940442061</v>
      </c>
      <c r="I32" s="834">
        <f t="shared" si="10"/>
        <v>0.6473818528268258</v>
      </c>
      <c r="J32" s="834">
        <f t="shared" si="10"/>
        <v>0.6908534957069</v>
      </c>
      <c r="K32" s="834">
        <f>K13/K17</f>
        <v>0.7759568018924412</v>
      </c>
      <c r="L32" s="834">
        <f t="shared" si="4"/>
        <v>0.24135435430222604</v>
      </c>
      <c r="M32" s="833">
        <f t="shared" si="5"/>
        <v>0.6284810794453122</v>
      </c>
      <c r="N32" s="874">
        <f>N13/$N$17</f>
        <v>0.3536662131145288</v>
      </c>
    </row>
    <row r="33" spans="1:14" ht="14.25" customHeight="1">
      <c r="A33" s="1018">
        <v>7</v>
      </c>
      <c r="B33" s="1028" t="s">
        <v>438</v>
      </c>
      <c r="C33" s="834">
        <f>C14/C17</f>
        <v>0.1908676881885897</v>
      </c>
      <c r="D33" s="834">
        <f aca="true" t="shared" si="11" ref="D33:K33">D14/D17</f>
        <v>0.1703661509717697</v>
      </c>
      <c r="E33" s="834">
        <f t="shared" si="11"/>
        <v>0.20352767415102835</v>
      </c>
      <c r="F33" s="834">
        <f t="shared" si="11"/>
        <v>0.11015088601140068</v>
      </c>
      <c r="G33" s="834">
        <f t="shared" si="11"/>
        <v>0.17946514169253358</v>
      </c>
      <c r="H33" s="834">
        <f t="shared" si="11"/>
        <v>0.2504125864503367</v>
      </c>
      <c r="I33" s="834">
        <f t="shared" si="11"/>
        <v>0.23604803713795539</v>
      </c>
      <c r="J33" s="834">
        <f t="shared" si="11"/>
        <v>0.13633689948925462</v>
      </c>
      <c r="K33" s="834">
        <f t="shared" si="11"/>
        <v>0.11519210592327568</v>
      </c>
      <c r="L33" s="834">
        <f t="shared" si="4"/>
        <v>0.1884236009202794</v>
      </c>
      <c r="M33" s="833">
        <f t="shared" si="5"/>
        <v>0.10308782964131571</v>
      </c>
      <c r="N33" s="874">
        <f>N14/$N$17</f>
        <v>0.17950906417075552</v>
      </c>
    </row>
    <row r="34" spans="1:14" ht="14.25" customHeight="1">
      <c r="A34" s="1018">
        <v>8</v>
      </c>
      <c r="B34" s="1028" t="s">
        <v>439</v>
      </c>
      <c r="C34" s="834">
        <f>C15/C17</f>
        <v>0.003260999355872742</v>
      </c>
      <c r="D34" s="834">
        <f aca="true" t="shared" si="12" ref="D34:K34">D15/D17</f>
        <v>0.011194148875572466</v>
      </c>
      <c r="E34" s="834">
        <f t="shared" si="12"/>
        <v>0.012636677281289697</v>
      </c>
      <c r="F34" s="834">
        <f t="shared" si="12"/>
        <v>0.005192227139448906</v>
      </c>
      <c r="G34" s="834">
        <f t="shared" si="12"/>
        <v>0.013620852635742586</v>
      </c>
      <c r="H34" s="834">
        <f t="shared" si="12"/>
        <v>0.02835737567847793</v>
      </c>
      <c r="I34" s="834">
        <f t="shared" si="12"/>
        <v>0.063747047282816</v>
      </c>
      <c r="J34" s="834">
        <f t="shared" si="12"/>
        <v>0.021042084168336674</v>
      </c>
      <c r="K34" s="834">
        <f t="shared" si="12"/>
        <v>0</v>
      </c>
      <c r="L34" s="834">
        <f t="shared" si="4"/>
        <v>0.2233760580475709</v>
      </c>
      <c r="M34" s="833">
        <f t="shared" si="5"/>
        <v>0.06976766495474258</v>
      </c>
      <c r="N34" s="874">
        <f>N15/$N$17</f>
        <v>0.08933602715815225</v>
      </c>
    </row>
    <row r="35" spans="1:14" ht="14.25" customHeight="1">
      <c r="A35" s="1029">
        <v>9</v>
      </c>
      <c r="B35" s="1030" t="s">
        <v>440</v>
      </c>
      <c r="C35" s="835">
        <f>C16/C17</f>
        <v>0.36028661140290247</v>
      </c>
      <c r="D35" s="835">
        <f aca="true" t="shared" si="13" ref="D35:K35">D16/D17</f>
        <v>0.3905633150295822</v>
      </c>
      <c r="E35" s="835">
        <f t="shared" si="13"/>
        <v>0.13708937359509327</v>
      </c>
      <c r="F35" s="835">
        <f t="shared" si="13"/>
        <v>0.1665746963157224</v>
      </c>
      <c r="G35" s="835">
        <f t="shared" si="13"/>
        <v>0.07733388754433129</v>
      </c>
      <c r="H35" s="835">
        <f t="shared" si="13"/>
        <v>0.10660024382697926</v>
      </c>
      <c r="I35" s="835">
        <f t="shared" si="13"/>
        <v>0.0528230627524028</v>
      </c>
      <c r="J35" s="835">
        <f t="shared" si="13"/>
        <v>0.15176752063550872</v>
      </c>
      <c r="K35" s="835">
        <f t="shared" si="13"/>
        <v>0.10885109218428314</v>
      </c>
      <c r="L35" s="835">
        <f t="shared" si="4"/>
        <v>0.3468459867299236</v>
      </c>
      <c r="M35" s="833">
        <f t="shared" si="5"/>
        <v>0.1986634259586295</v>
      </c>
      <c r="N35" s="874">
        <f>N16/$N$17</f>
        <v>0.37748869555656345</v>
      </c>
    </row>
    <row r="36" spans="1:14" ht="25.5">
      <c r="A36" s="1019">
        <v>10</v>
      </c>
      <c r="B36" s="1020" t="s">
        <v>195</v>
      </c>
      <c r="C36" s="1024">
        <f>C27+C28+C29+C31+C33+C34+C35</f>
        <v>1</v>
      </c>
      <c r="D36" s="1024">
        <f aca="true" t="shared" si="14" ref="D36:K36">D27+D28+D29+D31+D33+D34+D35</f>
        <v>1</v>
      </c>
      <c r="E36" s="1024">
        <f t="shared" si="14"/>
        <v>1</v>
      </c>
      <c r="F36" s="1024">
        <f t="shared" si="14"/>
        <v>1</v>
      </c>
      <c r="G36" s="1024">
        <f t="shared" si="14"/>
        <v>1</v>
      </c>
      <c r="H36" s="1024">
        <f t="shared" si="14"/>
        <v>1.0000000000000002</v>
      </c>
      <c r="I36" s="1024">
        <f t="shared" si="14"/>
        <v>1</v>
      </c>
      <c r="J36" s="1024">
        <f t="shared" si="14"/>
        <v>1</v>
      </c>
      <c r="K36" s="1024">
        <f t="shared" si="14"/>
        <v>1</v>
      </c>
      <c r="L36" s="1024">
        <f>L27+L28+L29+L31+L33+L34+L35</f>
        <v>1</v>
      </c>
      <c r="M36" s="1024">
        <f>M27+M28+M29+M31+M33+M34+M35</f>
        <v>1</v>
      </c>
      <c r="N36" s="1025">
        <f>N27+N28+N29+N31+N33+N34+N35</f>
        <v>1</v>
      </c>
    </row>
    <row r="89" ht="12.75">
      <c r="U89" s="876" t="s">
        <v>431</v>
      </c>
    </row>
    <row r="90" spans="18:29" ht="12.75">
      <c r="R90" s="838" t="s">
        <v>167</v>
      </c>
      <c r="S90" s="839" t="s">
        <v>168</v>
      </c>
      <c r="T90" s="839" t="s">
        <v>169</v>
      </c>
      <c r="U90" s="839" t="s">
        <v>170</v>
      </c>
      <c r="V90" s="839" t="s">
        <v>171</v>
      </c>
      <c r="W90" s="839" t="s">
        <v>172</v>
      </c>
      <c r="X90" s="839" t="s">
        <v>173</v>
      </c>
      <c r="Y90" s="1089" t="s">
        <v>174</v>
      </c>
      <c r="Z90" s="839" t="s">
        <v>175</v>
      </c>
      <c r="AA90" s="839" t="s">
        <v>176</v>
      </c>
      <c r="AB90" s="839" t="s">
        <v>533</v>
      </c>
      <c r="AC90" s="839" t="s">
        <v>390</v>
      </c>
    </row>
    <row r="91" spans="17:29" ht="12.75">
      <c r="Q91" s="876" t="s">
        <v>197</v>
      </c>
      <c r="R91" s="966">
        <f aca="true" t="shared" si="15" ref="R91:AC92">C11</f>
        <v>411251</v>
      </c>
      <c r="S91" s="966">
        <f t="shared" si="15"/>
        <v>559269</v>
      </c>
      <c r="T91" s="966">
        <f t="shared" si="15"/>
        <v>788634</v>
      </c>
      <c r="U91" s="966">
        <f t="shared" si="15"/>
        <v>1186407</v>
      </c>
      <c r="V91" s="966">
        <f t="shared" si="15"/>
        <v>767914</v>
      </c>
      <c r="W91" s="966">
        <f t="shared" si="15"/>
        <v>642271</v>
      </c>
      <c r="X91" s="966">
        <f t="shared" si="15"/>
        <v>756959</v>
      </c>
      <c r="Y91" s="966">
        <f t="shared" si="15"/>
        <v>1135253</v>
      </c>
      <c r="Z91" s="966">
        <f t="shared" si="15"/>
        <v>999160</v>
      </c>
      <c r="AA91" s="966">
        <f t="shared" si="15"/>
        <v>180751</v>
      </c>
      <c r="AB91" s="966">
        <f t="shared" si="15"/>
        <v>720656</v>
      </c>
      <c r="AC91" s="966">
        <f t="shared" si="15"/>
        <v>257324</v>
      </c>
    </row>
    <row r="92" spans="17:29" ht="12.75">
      <c r="Q92" s="1036" t="s">
        <v>444</v>
      </c>
      <c r="R92" s="966">
        <f t="shared" si="15"/>
        <v>118641</v>
      </c>
      <c r="S92" s="966">
        <f t="shared" si="15"/>
        <v>4103</v>
      </c>
      <c r="T92" s="966">
        <f t="shared" si="15"/>
        <v>0</v>
      </c>
      <c r="U92" s="966">
        <f t="shared" si="15"/>
        <v>390760</v>
      </c>
      <c r="V92" s="966">
        <f t="shared" si="15"/>
        <v>320335</v>
      </c>
      <c r="W92" s="966">
        <f t="shared" si="15"/>
        <v>59005</v>
      </c>
      <c r="X92" s="966">
        <f t="shared" si="15"/>
        <v>0</v>
      </c>
      <c r="Y92" s="966">
        <f t="shared" si="15"/>
        <v>13407</v>
      </c>
      <c r="Z92" s="966">
        <f t="shared" si="15"/>
        <v>0</v>
      </c>
      <c r="AA92" s="966">
        <f t="shared" si="15"/>
        <v>0</v>
      </c>
      <c r="AB92" s="966">
        <f t="shared" si="15"/>
        <v>0</v>
      </c>
      <c r="AC92" s="966">
        <f t="shared" si="15"/>
        <v>0</v>
      </c>
    </row>
    <row r="93" spans="17:29" ht="12.75">
      <c r="Q93" s="876" t="s">
        <v>196</v>
      </c>
      <c r="R93" s="966">
        <f aca="true" t="shared" si="16" ref="R93:AC93">C17-C13</f>
        <v>659314</v>
      </c>
      <c r="S93" s="966">
        <f t="shared" si="16"/>
        <v>753298</v>
      </c>
      <c r="T93" s="966">
        <f t="shared" si="16"/>
        <v>430753</v>
      </c>
      <c r="U93" s="966">
        <f t="shared" si="16"/>
        <v>619193</v>
      </c>
      <c r="V93" s="966">
        <f t="shared" si="16"/>
        <v>403361</v>
      </c>
      <c r="W93" s="966">
        <f t="shared" si="16"/>
        <v>439697</v>
      </c>
      <c r="X93" s="966">
        <f t="shared" si="16"/>
        <v>412303</v>
      </c>
      <c r="Y93" s="966">
        <f t="shared" si="16"/>
        <v>514008</v>
      </c>
      <c r="Z93" s="966">
        <f t="shared" si="16"/>
        <v>288489</v>
      </c>
      <c r="AA93" s="966">
        <f t="shared" si="16"/>
        <v>568152</v>
      </c>
      <c r="AB93" s="966">
        <f t="shared" si="16"/>
        <v>426007</v>
      </c>
      <c r="AC93" s="966">
        <f t="shared" si="16"/>
        <v>470266</v>
      </c>
    </row>
    <row r="94" spans="17:29" ht="12.75">
      <c r="Q94" s="876" t="s">
        <v>422</v>
      </c>
      <c r="R94" s="966">
        <f>SUM(R91:R93)</f>
        <v>1189206</v>
      </c>
      <c r="S94" s="966">
        <f aca="true" t="shared" si="17" ref="S94:AC94">SUM(S91:S93)</f>
        <v>1316670</v>
      </c>
      <c r="T94" s="966">
        <f t="shared" si="17"/>
        <v>1219387</v>
      </c>
      <c r="U94" s="966">
        <f t="shared" si="17"/>
        <v>2196360</v>
      </c>
      <c r="V94" s="966">
        <f t="shared" si="17"/>
        <v>1491610</v>
      </c>
      <c r="W94" s="966">
        <f t="shared" si="17"/>
        <v>1140973</v>
      </c>
      <c r="X94" s="966">
        <f t="shared" si="17"/>
        <v>1169262</v>
      </c>
      <c r="Y94" s="966">
        <f t="shared" si="17"/>
        <v>1662668</v>
      </c>
      <c r="Z94" s="966">
        <f t="shared" si="17"/>
        <v>1287649</v>
      </c>
      <c r="AA94" s="966">
        <f t="shared" si="17"/>
        <v>748903</v>
      </c>
      <c r="AB94" s="966">
        <f t="shared" si="17"/>
        <v>1146663</v>
      </c>
      <c r="AC94" s="966">
        <f t="shared" si="17"/>
        <v>727590</v>
      </c>
    </row>
    <row r="96" spans="18:29" ht="12.75">
      <c r="R96" s="838" t="s">
        <v>167</v>
      </c>
      <c r="S96" s="839" t="s">
        <v>168</v>
      </c>
      <c r="T96" s="839" t="s">
        <v>169</v>
      </c>
      <c r="U96" s="839" t="s">
        <v>170</v>
      </c>
      <c r="V96" s="839" t="s">
        <v>171</v>
      </c>
      <c r="W96" s="839" t="s">
        <v>172</v>
      </c>
      <c r="X96" s="839" t="s">
        <v>173</v>
      </c>
      <c r="Y96" s="839" t="s">
        <v>174</v>
      </c>
      <c r="Z96" s="839" t="s">
        <v>175</v>
      </c>
      <c r="AA96" s="839" t="s">
        <v>176</v>
      </c>
      <c r="AB96" s="839" t="s">
        <v>533</v>
      </c>
      <c r="AC96" s="839" t="s">
        <v>390</v>
      </c>
    </row>
    <row r="97" spans="17:29" ht="12.75">
      <c r="Q97" s="1036" t="s">
        <v>435</v>
      </c>
      <c r="R97" s="966">
        <f aca="true" t="shared" si="18" ref="R97:AC100">C8</f>
        <v>111280</v>
      </c>
      <c r="S97" s="966">
        <f t="shared" si="18"/>
        <v>324858</v>
      </c>
      <c r="T97" s="966">
        <f t="shared" si="18"/>
        <v>477944</v>
      </c>
      <c r="U97" s="966">
        <f t="shared" si="18"/>
        <v>916692</v>
      </c>
      <c r="V97" s="966">
        <f t="shared" si="18"/>
        <v>492071</v>
      </c>
      <c r="W97" s="966">
        <f t="shared" si="18"/>
        <v>379949</v>
      </c>
      <c r="X97" s="966">
        <f t="shared" si="18"/>
        <v>189090</v>
      </c>
      <c r="Y97" s="966">
        <f t="shared" si="18"/>
        <v>333404</v>
      </c>
      <c r="Z97" s="966">
        <f t="shared" si="18"/>
        <v>526673</v>
      </c>
      <c r="AA97" s="966">
        <f t="shared" si="18"/>
        <v>113110</v>
      </c>
      <c r="AB97" s="966">
        <f t="shared" si="18"/>
        <v>663000</v>
      </c>
      <c r="AC97" s="966">
        <f t="shared" si="18"/>
        <v>200000</v>
      </c>
    </row>
    <row r="98" spans="17:29" ht="12.75">
      <c r="Q98" s="1037" t="s">
        <v>436</v>
      </c>
      <c r="R98" s="966">
        <f t="shared" si="18"/>
        <v>217944</v>
      </c>
      <c r="S98" s="966">
        <f t="shared" si="18"/>
        <v>38713</v>
      </c>
      <c r="T98" s="966">
        <f t="shared" si="18"/>
        <v>54678</v>
      </c>
      <c r="U98" s="966">
        <f t="shared" si="18"/>
        <v>114636</v>
      </c>
      <c r="V98" s="966">
        <f t="shared" si="18"/>
        <v>148942</v>
      </c>
      <c r="W98" s="966">
        <f t="shared" si="18"/>
        <v>262322</v>
      </c>
      <c r="X98" s="966">
        <f t="shared" si="18"/>
        <v>516734</v>
      </c>
      <c r="Y98" s="966">
        <f t="shared" si="18"/>
        <v>801849</v>
      </c>
      <c r="Z98" s="966">
        <f t="shared" si="18"/>
        <v>369095</v>
      </c>
      <c r="AA98" s="966">
        <f t="shared" si="18"/>
        <v>12663</v>
      </c>
      <c r="AB98" s="966">
        <f t="shared" si="18"/>
        <v>10000</v>
      </c>
      <c r="AC98" s="966">
        <f t="shared" si="18"/>
        <v>9000</v>
      </c>
    </row>
    <row r="99" spans="17:29" ht="12.75">
      <c r="Q99" s="1038" t="s">
        <v>437</v>
      </c>
      <c r="R99" s="966">
        <f t="shared" si="18"/>
        <v>82027</v>
      </c>
      <c r="S99" s="966">
        <f t="shared" si="18"/>
        <v>195698</v>
      </c>
      <c r="T99" s="966">
        <f t="shared" si="18"/>
        <v>256012</v>
      </c>
      <c r="U99" s="966">
        <f t="shared" si="18"/>
        <v>155079</v>
      </c>
      <c r="V99" s="966">
        <f t="shared" si="18"/>
        <v>126901</v>
      </c>
      <c r="W99" s="966">
        <f t="shared" si="18"/>
        <v>0</v>
      </c>
      <c r="X99" s="966">
        <f t="shared" si="18"/>
        <v>51135</v>
      </c>
      <c r="Y99" s="966">
        <f t="shared" si="18"/>
        <v>0</v>
      </c>
      <c r="Z99" s="966">
        <f t="shared" si="18"/>
        <v>103392</v>
      </c>
      <c r="AA99" s="966">
        <f t="shared" si="18"/>
        <v>54978</v>
      </c>
      <c r="AB99" s="966">
        <f t="shared" si="18"/>
        <v>47656</v>
      </c>
      <c r="AC99" s="966">
        <f t="shared" si="18"/>
        <v>48324</v>
      </c>
    </row>
    <row r="100" spans="17:29" ht="12.75">
      <c r="Q100" s="1039" t="s">
        <v>422</v>
      </c>
      <c r="R100" s="966">
        <f t="shared" si="18"/>
        <v>411251</v>
      </c>
      <c r="S100" s="966">
        <f t="shared" si="18"/>
        <v>559269</v>
      </c>
      <c r="T100" s="966">
        <f t="shared" si="18"/>
        <v>788634</v>
      </c>
      <c r="U100" s="966">
        <f t="shared" si="18"/>
        <v>1186407</v>
      </c>
      <c r="V100" s="966">
        <f t="shared" si="18"/>
        <v>767914</v>
      </c>
      <c r="W100" s="966">
        <f t="shared" si="18"/>
        <v>642271</v>
      </c>
      <c r="X100" s="966">
        <f t="shared" si="18"/>
        <v>756959</v>
      </c>
      <c r="Y100" s="966">
        <f t="shared" si="18"/>
        <v>1135253</v>
      </c>
      <c r="Z100" s="966">
        <f t="shared" si="18"/>
        <v>999160</v>
      </c>
      <c r="AA100" s="966">
        <f t="shared" si="18"/>
        <v>180751</v>
      </c>
      <c r="AB100" s="966">
        <f t="shared" si="18"/>
        <v>720656</v>
      </c>
      <c r="AC100" s="966">
        <f t="shared" si="18"/>
        <v>257324</v>
      </c>
    </row>
    <row r="102" spans="18:29" ht="12.75">
      <c r="R102" s="838" t="s">
        <v>167</v>
      </c>
      <c r="S102" s="839" t="s">
        <v>168</v>
      </c>
      <c r="T102" s="839" t="s">
        <v>169</v>
      </c>
      <c r="U102" s="839" t="s">
        <v>170</v>
      </c>
      <c r="V102" s="839" t="s">
        <v>171</v>
      </c>
      <c r="W102" s="839" t="s">
        <v>172</v>
      </c>
      <c r="X102" s="839" t="s">
        <v>173</v>
      </c>
      <c r="Y102" s="839" t="s">
        <v>174</v>
      </c>
      <c r="Z102" s="839" t="s">
        <v>175</v>
      </c>
      <c r="AA102" s="839" t="s">
        <v>176</v>
      </c>
      <c r="AB102" s="839" t="s">
        <v>533</v>
      </c>
      <c r="AC102" s="839" t="s">
        <v>390</v>
      </c>
    </row>
    <row r="103" spans="17:29" ht="12.75">
      <c r="Q103" s="1039" t="str">
        <f aca="true" t="shared" si="19" ref="Q103:AC103">B12</f>
        <v>Üzletrész és értékpapír értékesítés</v>
      </c>
      <c r="R103" s="966">
        <f t="shared" si="19"/>
        <v>118641</v>
      </c>
      <c r="S103" s="966">
        <f t="shared" si="19"/>
        <v>4103</v>
      </c>
      <c r="T103" s="966">
        <f t="shared" si="19"/>
        <v>0</v>
      </c>
      <c r="U103" s="966">
        <f t="shared" si="19"/>
        <v>390760</v>
      </c>
      <c r="V103" s="966">
        <f t="shared" si="19"/>
        <v>320335</v>
      </c>
      <c r="W103" s="966">
        <f t="shared" si="19"/>
        <v>59005</v>
      </c>
      <c r="X103" s="966">
        <f t="shared" si="19"/>
        <v>0</v>
      </c>
      <c r="Y103" s="966">
        <f t="shared" si="19"/>
        <v>13407</v>
      </c>
      <c r="Z103" s="966">
        <f t="shared" si="19"/>
        <v>0</v>
      </c>
      <c r="AA103" s="966">
        <f t="shared" si="19"/>
        <v>0</v>
      </c>
      <c r="AB103" s="966">
        <f t="shared" si="19"/>
        <v>0</v>
      </c>
      <c r="AC103" s="966">
        <f t="shared" si="19"/>
        <v>0</v>
      </c>
    </row>
    <row r="104" spans="17:29" ht="12.75">
      <c r="Q104" s="1037" t="s">
        <v>438</v>
      </c>
      <c r="R104" s="966">
        <f aca="true" t="shared" si="20" ref="R104:AC106">C14</f>
        <v>226981</v>
      </c>
      <c r="S104" s="966">
        <f t="shared" si="20"/>
        <v>224316</v>
      </c>
      <c r="T104" s="966">
        <f t="shared" si="20"/>
        <v>248179</v>
      </c>
      <c r="U104" s="966">
        <f t="shared" si="20"/>
        <v>241931</v>
      </c>
      <c r="V104" s="966">
        <f t="shared" si="20"/>
        <v>267692</v>
      </c>
      <c r="W104" s="966">
        <f t="shared" si="20"/>
        <v>285714</v>
      </c>
      <c r="X104" s="966">
        <f t="shared" si="20"/>
        <v>276002</v>
      </c>
      <c r="Y104" s="966">
        <f t="shared" si="20"/>
        <v>226683</v>
      </c>
      <c r="Z104" s="966">
        <f t="shared" si="20"/>
        <v>148327</v>
      </c>
      <c r="AA104" s="966">
        <f t="shared" si="20"/>
        <v>141111</v>
      </c>
      <c r="AB104" s="966">
        <f t="shared" si="20"/>
        <v>118207</v>
      </c>
      <c r="AC104" s="966">
        <f t="shared" si="20"/>
        <v>130609</v>
      </c>
    </row>
    <row r="105" spans="17:29" ht="12.75">
      <c r="Q105" s="1037" t="s">
        <v>439</v>
      </c>
      <c r="R105" s="966">
        <f t="shared" si="20"/>
        <v>3878</v>
      </c>
      <c r="S105" s="966">
        <f t="shared" si="20"/>
        <v>14739</v>
      </c>
      <c r="T105" s="966">
        <f t="shared" si="20"/>
        <v>15409</v>
      </c>
      <c r="U105" s="966">
        <f t="shared" si="20"/>
        <v>11404</v>
      </c>
      <c r="V105" s="966">
        <f t="shared" si="20"/>
        <v>20317</v>
      </c>
      <c r="W105" s="966">
        <f t="shared" si="20"/>
        <v>32355</v>
      </c>
      <c r="X105" s="966">
        <f t="shared" si="20"/>
        <v>74537</v>
      </c>
      <c r="Y105" s="966">
        <f t="shared" si="20"/>
        <v>34986</v>
      </c>
      <c r="Z105" s="966">
        <f t="shared" si="20"/>
        <v>0</v>
      </c>
      <c r="AA105" s="966">
        <f t="shared" si="20"/>
        <v>167287</v>
      </c>
      <c r="AB105" s="966">
        <f t="shared" si="20"/>
        <v>80000</v>
      </c>
      <c r="AC105" s="966">
        <f t="shared" si="20"/>
        <v>65000</v>
      </c>
    </row>
    <row r="106" spans="17:29" ht="12.75">
      <c r="Q106" s="1037" t="s">
        <v>440</v>
      </c>
      <c r="R106" s="966">
        <f t="shared" si="20"/>
        <v>428455</v>
      </c>
      <c r="S106" s="966">
        <f t="shared" si="20"/>
        <v>514243</v>
      </c>
      <c r="T106" s="966">
        <f t="shared" si="20"/>
        <v>167165</v>
      </c>
      <c r="U106" s="966">
        <f t="shared" si="20"/>
        <v>365858</v>
      </c>
      <c r="V106" s="966">
        <f t="shared" si="20"/>
        <v>115352</v>
      </c>
      <c r="W106" s="966">
        <f t="shared" si="20"/>
        <v>121628</v>
      </c>
      <c r="X106" s="966">
        <f t="shared" si="20"/>
        <v>61764</v>
      </c>
      <c r="Y106" s="966">
        <f t="shared" si="20"/>
        <v>252339</v>
      </c>
      <c r="Z106" s="966">
        <f t="shared" si="20"/>
        <v>140162</v>
      </c>
      <c r="AA106" s="966">
        <f t="shared" si="20"/>
        <v>259754</v>
      </c>
      <c r="AB106" s="966">
        <f t="shared" si="20"/>
        <v>227800</v>
      </c>
      <c r="AC106" s="966">
        <f t="shared" si="20"/>
        <v>274657</v>
      </c>
    </row>
    <row r="108" spans="17:29" ht="12.75">
      <c r="Q108" s="1039" t="s">
        <v>422</v>
      </c>
      <c r="R108" s="966">
        <f aca="true" t="shared" si="21" ref="R108:Z108">SUM(R103:R106)</f>
        <v>777955</v>
      </c>
      <c r="S108" s="966">
        <f t="shared" si="21"/>
        <v>757401</v>
      </c>
      <c r="T108" s="966">
        <f t="shared" si="21"/>
        <v>430753</v>
      </c>
      <c r="U108" s="966">
        <f t="shared" si="21"/>
        <v>1009953</v>
      </c>
      <c r="V108" s="966">
        <f t="shared" si="21"/>
        <v>723696</v>
      </c>
      <c r="W108" s="966">
        <f t="shared" si="21"/>
        <v>498702</v>
      </c>
      <c r="X108" s="966">
        <f t="shared" si="21"/>
        <v>412303</v>
      </c>
      <c r="Y108" s="966">
        <f t="shared" si="21"/>
        <v>527415</v>
      </c>
      <c r="Z108" s="966">
        <f t="shared" si="21"/>
        <v>288489</v>
      </c>
      <c r="AA108" s="966">
        <f>SUM(AA103:AA106)</f>
        <v>568152</v>
      </c>
      <c r="AB108" s="966">
        <f>SUM(AB103:AB106)</f>
        <v>426007</v>
      </c>
      <c r="AC108" s="966">
        <f>SUM(AC103:AC106)</f>
        <v>470266</v>
      </c>
    </row>
  </sheetData>
  <mergeCells count="12">
    <mergeCell ref="C25:L25"/>
    <mergeCell ref="A22:N22"/>
    <mergeCell ref="N25:N26"/>
    <mergeCell ref="M25:M26"/>
    <mergeCell ref="B25:B26"/>
    <mergeCell ref="A25:A26"/>
    <mergeCell ref="B2:N2"/>
    <mergeCell ref="N6:N7"/>
    <mergeCell ref="C6:L6"/>
    <mergeCell ref="A6:A7"/>
    <mergeCell ref="B6:B7"/>
    <mergeCell ref="M6:M7"/>
  </mergeCells>
  <printOptions horizontalCentered="1"/>
  <pageMargins left="0.1968503937007874" right="0.1968503937007874" top="0.91" bottom="0.71" header="0.5118110236220472" footer="0.5118110236220472"/>
  <pageSetup horizontalDpi="600" verticalDpi="600" orientation="landscape" paperSize="9" scale="75" r:id="rId2"/>
  <rowBreaks count="1" manualBreakCount="1">
    <brk id="39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76"/>
  <sheetViews>
    <sheetView zoomScale="75" zoomScaleNormal="75" workbookViewId="0" topLeftCell="A1">
      <selection activeCell="C26" sqref="C26"/>
    </sheetView>
  </sheetViews>
  <sheetFormatPr defaultColWidth="9.140625" defaultRowHeight="12.75"/>
  <cols>
    <col min="1" max="1" width="32.421875" style="0" customWidth="1"/>
    <col min="2" max="7" width="10.57421875" style="0" customWidth="1"/>
    <col min="8" max="8" width="11.28125" style="0" customWidth="1"/>
    <col min="9" max="9" width="11.421875" style="0" customWidth="1"/>
    <col min="10" max="10" width="9.28125" style="0" bestFit="1" customWidth="1"/>
    <col min="12" max="12" width="1.7109375" style="0" customWidth="1"/>
    <col min="13" max="13" width="13.28125" style="0" customWidth="1"/>
    <col min="14" max="14" width="13.00390625" style="0" customWidth="1"/>
    <col min="15" max="15" width="10.421875" style="0" customWidth="1"/>
    <col min="16" max="16" width="11.421875" style="0" customWidth="1"/>
    <col min="17" max="17" width="11.57421875" style="0" customWidth="1"/>
  </cols>
  <sheetData>
    <row r="1" ht="12.75">
      <c r="K1" s="15" t="s">
        <v>205</v>
      </c>
    </row>
    <row r="2" spans="1:2" ht="12.75">
      <c r="A2" s="459"/>
      <c r="B2" s="459"/>
    </row>
    <row r="3" spans="1:2" ht="12.75">
      <c r="A3" s="459"/>
      <c r="B3" s="459"/>
    </row>
    <row r="4" spans="1:11" ht="40.5" customHeight="1">
      <c r="A4" s="1150" t="s">
        <v>454</v>
      </c>
      <c r="B4" s="1150"/>
      <c r="C4" s="1150"/>
      <c r="D4" s="1150"/>
      <c r="E4" s="1150"/>
      <c r="F4" s="1150"/>
      <c r="G4" s="1150"/>
      <c r="H4" s="1150"/>
      <c r="I4" s="1150"/>
      <c r="J4" s="1150"/>
      <c r="K4" s="1150"/>
    </row>
    <row r="6" ht="13.5" thickBot="1"/>
    <row r="7" spans="1:25" ht="13.5" thickTop="1">
      <c r="A7" s="1149" t="s">
        <v>455</v>
      </c>
      <c r="B7" s="1212" t="s">
        <v>465</v>
      </c>
      <c r="C7" s="1212"/>
      <c r="D7" s="1212"/>
      <c r="E7" s="1212"/>
      <c r="F7" s="1212"/>
      <c r="G7" s="1212" t="s">
        <v>466</v>
      </c>
      <c r="H7" s="1212"/>
      <c r="I7" s="1212"/>
      <c r="J7" s="1212"/>
      <c r="K7" s="1237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2.75">
      <c r="A8" s="1210"/>
      <c r="B8" s="1147">
        <v>2002</v>
      </c>
      <c r="C8" s="1147">
        <v>2003</v>
      </c>
      <c r="D8" s="1147">
        <v>2004</v>
      </c>
      <c r="E8" s="1147">
        <v>2005</v>
      </c>
      <c r="F8" s="1147" t="s">
        <v>396</v>
      </c>
      <c r="G8" s="1147">
        <v>2002</v>
      </c>
      <c r="H8" s="1147">
        <v>2003</v>
      </c>
      <c r="I8" s="1147">
        <v>2004</v>
      </c>
      <c r="J8" s="1147">
        <v>2005</v>
      </c>
      <c r="K8" s="1152">
        <v>2006</v>
      </c>
      <c r="M8" s="398"/>
      <c r="N8" s="398"/>
      <c r="O8" s="398"/>
      <c r="P8" s="21"/>
      <c r="Q8" s="21"/>
      <c r="R8" s="21"/>
      <c r="S8" s="21"/>
      <c r="T8" s="21"/>
      <c r="U8" s="21"/>
      <c r="V8" s="21"/>
      <c r="W8" s="21"/>
      <c r="X8" s="21"/>
      <c r="Y8" s="22"/>
    </row>
    <row r="9" spans="1:25" ht="13.5" thickBot="1">
      <c r="A9" s="1211"/>
      <c r="B9" s="1148"/>
      <c r="C9" s="1148"/>
      <c r="D9" s="1148"/>
      <c r="E9" s="1148"/>
      <c r="F9" s="1148"/>
      <c r="G9" s="1148"/>
      <c r="H9" s="1148"/>
      <c r="I9" s="1148"/>
      <c r="J9" s="1148"/>
      <c r="K9" s="1153"/>
      <c r="P9" s="23"/>
      <c r="Q9" s="23"/>
      <c r="R9" s="23"/>
      <c r="S9" s="23"/>
      <c r="T9" s="23"/>
      <c r="U9" s="23"/>
      <c r="V9" s="23"/>
      <c r="W9" s="23"/>
      <c r="X9" s="23"/>
      <c r="Y9" s="22"/>
    </row>
    <row r="10" spans="1:25" ht="13.5" thickTop="1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6"/>
      <c r="P10" s="23"/>
      <c r="Q10" s="23"/>
      <c r="R10" s="23"/>
      <c r="S10" s="23"/>
      <c r="T10" s="23"/>
      <c r="U10" s="23"/>
      <c r="V10" s="23"/>
      <c r="W10" s="23"/>
      <c r="X10" s="23"/>
      <c r="Y10" s="22"/>
    </row>
    <row r="11" spans="1:26" ht="12.75">
      <c r="A11" s="27" t="s">
        <v>467</v>
      </c>
      <c r="B11" s="28">
        <v>2519</v>
      </c>
      <c r="C11" s="29">
        <v>2437</v>
      </c>
      <c r="D11" s="29">
        <v>2423</v>
      </c>
      <c r="E11" s="29">
        <v>2406</v>
      </c>
      <c r="F11" s="29">
        <v>2378</v>
      </c>
      <c r="G11" s="30">
        <v>130</v>
      </c>
      <c r="H11" s="30">
        <v>182</v>
      </c>
      <c r="I11" s="30">
        <v>189</v>
      </c>
      <c r="J11" s="30">
        <v>199</v>
      </c>
      <c r="K11" s="31">
        <v>199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32"/>
    </row>
    <row r="12" spans="1:26" ht="12.75">
      <c r="A12" s="33" t="s">
        <v>468</v>
      </c>
      <c r="B12" s="28">
        <v>7470</v>
      </c>
      <c r="C12" s="34">
        <v>3487</v>
      </c>
      <c r="D12" s="35">
        <v>3221</v>
      </c>
      <c r="E12" s="35">
        <v>2930</v>
      </c>
      <c r="F12" s="35">
        <v>2653</v>
      </c>
      <c r="G12" s="30">
        <v>135.3</v>
      </c>
      <c r="H12" s="30">
        <v>187</v>
      </c>
      <c r="I12" s="30">
        <v>193</v>
      </c>
      <c r="J12" s="30">
        <v>204</v>
      </c>
      <c r="K12" s="31">
        <v>204</v>
      </c>
      <c r="P12" s="36"/>
      <c r="Q12" s="36"/>
      <c r="R12" s="36"/>
      <c r="S12" s="36"/>
      <c r="T12" s="37"/>
      <c r="U12" s="37"/>
      <c r="V12" s="37"/>
      <c r="W12" s="37"/>
      <c r="X12" s="38"/>
      <c r="Y12" s="39"/>
      <c r="Z12" s="40"/>
    </row>
    <row r="13" spans="1:26" ht="12.75">
      <c r="A13" s="33" t="s">
        <v>469</v>
      </c>
      <c r="B13" s="28"/>
      <c r="C13" s="34">
        <v>3855</v>
      </c>
      <c r="D13" s="35">
        <v>3725</v>
      </c>
      <c r="E13" s="35">
        <v>3556</v>
      </c>
      <c r="F13" s="35">
        <v>3346</v>
      </c>
      <c r="G13" s="30"/>
      <c r="H13" s="30">
        <v>194</v>
      </c>
      <c r="I13" s="30">
        <v>202</v>
      </c>
      <c r="J13" s="30">
        <v>212</v>
      </c>
      <c r="K13" s="31">
        <v>212</v>
      </c>
      <c r="P13" s="42"/>
      <c r="Q13" s="41"/>
      <c r="R13" s="41"/>
      <c r="S13" s="41"/>
      <c r="T13" s="37"/>
      <c r="U13" s="37"/>
      <c r="V13" s="37"/>
      <c r="W13" s="37"/>
      <c r="X13" s="38"/>
      <c r="Y13" s="39"/>
      <c r="Z13" s="40"/>
    </row>
    <row r="14" spans="1:26" ht="12.75">
      <c r="A14" s="33" t="s">
        <v>470</v>
      </c>
      <c r="B14" s="28">
        <v>6310</v>
      </c>
      <c r="C14" s="29">
        <v>6093</v>
      </c>
      <c r="D14" s="29">
        <v>6247</v>
      </c>
      <c r="E14" s="29">
        <v>6219</v>
      </c>
      <c r="F14" s="29">
        <v>6265</v>
      </c>
      <c r="G14" s="30">
        <v>161.2</v>
      </c>
      <c r="H14" s="30">
        <v>240</v>
      </c>
      <c r="I14" s="30">
        <v>248</v>
      </c>
      <c r="J14" s="30">
        <v>262</v>
      </c>
      <c r="K14" s="31">
        <v>262</v>
      </c>
      <c r="P14" s="42"/>
      <c r="Q14" s="41"/>
      <c r="R14" s="41"/>
      <c r="S14" s="41"/>
      <c r="T14" s="37"/>
      <c r="U14" s="37"/>
      <c r="V14" s="37"/>
      <c r="W14" s="37"/>
      <c r="X14" s="38"/>
      <c r="Y14" s="39"/>
      <c r="Z14" s="40"/>
    </row>
    <row r="15" spans="1:26" ht="13.5" thickBot="1">
      <c r="A15" s="43" t="s">
        <v>471</v>
      </c>
      <c r="B15" s="44">
        <v>1664</v>
      </c>
      <c r="C15" s="45">
        <v>1800</v>
      </c>
      <c r="D15" s="45">
        <v>1676</v>
      </c>
      <c r="E15" s="45">
        <v>1650</v>
      </c>
      <c r="F15" s="45">
        <v>1612</v>
      </c>
      <c r="G15" s="46">
        <v>135.3</v>
      </c>
      <c r="H15" s="46">
        <v>190</v>
      </c>
      <c r="I15" s="46">
        <v>197</v>
      </c>
      <c r="J15" s="46">
        <v>210</v>
      </c>
      <c r="K15" s="47">
        <v>210</v>
      </c>
      <c r="P15" s="36"/>
      <c r="Q15" s="36"/>
      <c r="R15" s="36"/>
      <c r="S15" s="36"/>
      <c r="T15" s="37"/>
      <c r="U15" s="37"/>
      <c r="V15" s="37"/>
      <c r="W15" s="37"/>
      <c r="X15" s="38"/>
      <c r="Y15" s="39"/>
      <c r="Z15" s="40"/>
    </row>
    <row r="16" spans="1:26" ht="13.5" thickTop="1">
      <c r="A16" s="41"/>
      <c r="B16" s="10"/>
      <c r="C16" s="41"/>
      <c r="D16" s="48"/>
      <c r="E16" s="10"/>
      <c r="F16" s="10"/>
      <c r="G16" s="10"/>
      <c r="H16" s="10"/>
      <c r="P16" s="36"/>
      <c r="Q16" s="36"/>
      <c r="R16" s="36"/>
      <c r="S16" s="36"/>
      <c r="T16" s="37"/>
      <c r="U16" s="37"/>
      <c r="V16" s="37"/>
      <c r="W16" s="37"/>
      <c r="X16" s="38"/>
      <c r="Y16" s="39"/>
      <c r="Z16" s="40"/>
    </row>
    <row r="17" spans="1:26" ht="18.75">
      <c r="A17" s="1151" t="s">
        <v>204</v>
      </c>
      <c r="B17" s="1151"/>
      <c r="C17" s="1151"/>
      <c r="D17" s="1151"/>
      <c r="E17" s="1151"/>
      <c r="F17" s="1151"/>
      <c r="G17" s="1151"/>
      <c r="H17" s="10"/>
      <c r="P17" s="36"/>
      <c r="Q17" s="36"/>
      <c r="R17" s="36"/>
      <c r="S17" s="36"/>
      <c r="T17" s="37"/>
      <c r="U17" s="37"/>
      <c r="V17" s="37"/>
      <c r="W17" s="37"/>
      <c r="X17" s="38"/>
      <c r="Y17" s="39"/>
      <c r="Z17" s="40"/>
    </row>
    <row r="18" spans="1:26" ht="13.5" thickBot="1">
      <c r="A18" s="41"/>
      <c r="B18" s="10"/>
      <c r="C18" s="41"/>
      <c r="D18" s="48"/>
      <c r="E18" s="10"/>
      <c r="F18" s="10"/>
      <c r="G18" s="10"/>
      <c r="H18" s="10"/>
      <c r="P18" s="36"/>
      <c r="Q18" s="36"/>
      <c r="R18" s="36"/>
      <c r="S18" s="36"/>
      <c r="T18" s="37"/>
      <c r="U18" s="37"/>
      <c r="V18" s="37"/>
      <c r="W18" s="37"/>
      <c r="X18" s="38"/>
      <c r="Y18" s="39"/>
      <c r="Z18" s="40"/>
    </row>
    <row r="19" spans="1:26" ht="13.5" thickTop="1">
      <c r="A19" s="464" t="s">
        <v>203</v>
      </c>
      <c r="B19" s="465">
        <v>2002</v>
      </c>
      <c r="C19" s="465">
        <v>2003</v>
      </c>
      <c r="D19" s="465">
        <v>2004</v>
      </c>
      <c r="E19" s="465">
        <v>2005</v>
      </c>
      <c r="F19" s="465">
        <v>2006</v>
      </c>
      <c r="G19" s="466" t="s">
        <v>472</v>
      </c>
      <c r="H19" s="56"/>
      <c r="N19" s="10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40"/>
    </row>
    <row r="20" spans="1:26" ht="12.75">
      <c r="A20" s="467" t="s">
        <v>467</v>
      </c>
      <c r="B20" s="461">
        <f>B11*G11</f>
        <v>327470</v>
      </c>
      <c r="C20" s="460">
        <f>C11*H11</f>
        <v>443534</v>
      </c>
      <c r="D20" s="460">
        <f>D11*I11</f>
        <v>457947</v>
      </c>
      <c r="E20" s="460">
        <f>E11*J11</f>
        <v>478794</v>
      </c>
      <c r="F20" s="460">
        <f>F11*K11</f>
        <v>473222</v>
      </c>
      <c r="G20" s="468">
        <f>F20-B20</f>
        <v>145752</v>
      </c>
      <c r="H20" s="52"/>
      <c r="N20" s="10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40"/>
    </row>
    <row r="21" spans="1:26" ht="12.75">
      <c r="A21" s="469" t="s">
        <v>473</v>
      </c>
      <c r="B21" s="462">
        <v>1010691</v>
      </c>
      <c r="C21" s="49">
        <v>1399939</v>
      </c>
      <c r="D21" s="49">
        <v>1374103</v>
      </c>
      <c r="E21" s="49">
        <v>1351592</v>
      </c>
      <c r="F21" s="49">
        <v>1250564</v>
      </c>
      <c r="G21" s="470">
        <f>F21-B21</f>
        <v>239873</v>
      </c>
      <c r="H21" s="52"/>
      <c r="M21" s="50"/>
      <c r="N21" s="50"/>
      <c r="O21" s="50"/>
      <c r="P21" s="50"/>
      <c r="Q21" s="50"/>
      <c r="R21" s="50"/>
      <c r="S21" s="39"/>
      <c r="T21" s="39"/>
      <c r="U21" s="39"/>
      <c r="V21" s="39"/>
      <c r="W21" s="39"/>
      <c r="X21" s="39"/>
      <c r="Y21" s="39"/>
      <c r="Z21" s="40"/>
    </row>
    <row r="22" spans="1:26" ht="12.75">
      <c r="A22" s="469" t="s">
        <v>474</v>
      </c>
      <c r="B22" s="462">
        <v>1242311.2</v>
      </c>
      <c r="C22" s="49">
        <v>1804320</v>
      </c>
      <c r="D22" s="49">
        <v>1879428</v>
      </c>
      <c r="E22" s="49">
        <v>1975878</v>
      </c>
      <c r="F22" s="49">
        <v>1979950</v>
      </c>
      <c r="G22" s="470">
        <f>F22-B22</f>
        <v>737638.8</v>
      </c>
      <c r="H22" s="52"/>
      <c r="M22" s="50"/>
      <c r="N22" s="50"/>
      <c r="O22" s="50"/>
      <c r="P22" s="50"/>
      <c r="Q22" s="50"/>
      <c r="R22" s="50"/>
      <c r="S22" s="39"/>
      <c r="T22" s="39"/>
      <c r="U22" s="39"/>
      <c r="V22" s="39"/>
      <c r="W22" s="39"/>
      <c r="X22" s="39"/>
      <c r="Y22" s="39"/>
      <c r="Z22" s="40"/>
    </row>
    <row r="23" spans="1:26" ht="12.75">
      <c r="A23" s="471" t="s">
        <v>434</v>
      </c>
      <c r="B23" s="463">
        <f>SUM(B20:B22)</f>
        <v>2580472.2</v>
      </c>
      <c r="C23" s="51">
        <f>SUM(C20:C22)</f>
        <v>3647793</v>
      </c>
      <c r="D23" s="51">
        <f>SUM(D20:D22)</f>
        <v>3711478</v>
      </c>
      <c r="E23" s="51">
        <f>SUM(E20:E22)</f>
        <v>3806264</v>
      </c>
      <c r="F23" s="51">
        <f>SUM(F20:F22)</f>
        <v>3703736</v>
      </c>
      <c r="G23" s="470">
        <f>F23-B23</f>
        <v>1123263.7999999998</v>
      </c>
      <c r="H23" s="52"/>
      <c r="N23" s="10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40"/>
    </row>
    <row r="24" spans="1:26" ht="12.75">
      <c r="A24" s="472" t="s">
        <v>475</v>
      </c>
      <c r="B24" s="463"/>
      <c r="C24" s="51">
        <f>C23-B23</f>
        <v>1067320.7999999998</v>
      </c>
      <c r="D24" s="51">
        <f>D23-C23</f>
        <v>63685</v>
      </c>
      <c r="E24" s="51">
        <f>E23-D23</f>
        <v>94786</v>
      </c>
      <c r="F24" s="51">
        <f>F23-E23</f>
        <v>-102528</v>
      </c>
      <c r="G24" s="470">
        <f>SUM(C24:F24)</f>
        <v>1123263.7999999998</v>
      </c>
      <c r="H24" s="52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2.75">
      <c r="A25" s="471" t="s">
        <v>476</v>
      </c>
      <c r="B25" s="463"/>
      <c r="C25" s="51">
        <v>-44558</v>
      </c>
      <c r="D25" s="51">
        <v>-64110</v>
      </c>
      <c r="E25" s="51">
        <v>-105580</v>
      </c>
      <c r="F25" s="51">
        <v>-102528</v>
      </c>
      <c r="G25" s="470">
        <f>SUM(C25:F25)</f>
        <v>-316776</v>
      </c>
      <c r="H25" s="52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2.75" customHeight="1">
      <c r="A26" s="473" t="s">
        <v>477</v>
      </c>
      <c r="B26" s="463"/>
      <c r="C26" s="51">
        <f>A81</f>
        <v>1132891.2549169164</v>
      </c>
      <c r="D26" s="51">
        <f>A109</f>
        <v>130165</v>
      </c>
      <c r="E26" s="51">
        <f>A138</f>
        <v>206157</v>
      </c>
      <c r="F26" s="51">
        <v>0</v>
      </c>
      <c r="G26" s="470">
        <f>SUM(C26:F26)</f>
        <v>1469213.2549169164</v>
      </c>
      <c r="H26" s="52"/>
      <c r="I26" s="52"/>
      <c r="J26" s="52"/>
      <c r="K26" s="52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2.75" customHeight="1">
      <c r="A27" s="473" t="s">
        <v>505</v>
      </c>
      <c r="B27" s="463"/>
      <c r="C27" s="51">
        <f>J89</f>
        <v>-21012.454916916555</v>
      </c>
      <c r="D27" s="51">
        <f>J117</f>
        <v>-2370</v>
      </c>
      <c r="E27" s="51">
        <f>J146</f>
        <v>-5791</v>
      </c>
      <c r="F27" s="51">
        <f>J176</f>
        <v>0</v>
      </c>
      <c r="G27" s="470">
        <f>SUM(C27:F27)</f>
        <v>-29173.454916916555</v>
      </c>
      <c r="H27" s="52"/>
      <c r="I27" s="52"/>
      <c r="J27" s="52"/>
      <c r="K27" s="52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3.5" thickBot="1">
      <c r="A28" s="474" t="s">
        <v>506</v>
      </c>
      <c r="B28" s="475"/>
      <c r="C28" s="476">
        <f>SUM(C25:C27)</f>
        <v>1067320.7999999998</v>
      </c>
      <c r="D28" s="476">
        <f>SUM(D25:D27)</f>
        <v>63685</v>
      </c>
      <c r="E28" s="476">
        <f>SUM(E25:E27)</f>
        <v>94786</v>
      </c>
      <c r="F28" s="476">
        <f>SUM(F25:F27)</f>
        <v>-102528</v>
      </c>
      <c r="G28" s="477">
        <f>SUM(G25:G27)</f>
        <v>1123263.7999999998</v>
      </c>
      <c r="H28" s="52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3.5" thickTop="1">
      <c r="A29" s="85"/>
      <c r="B29" s="54"/>
      <c r="C29" s="52"/>
      <c r="D29" s="52"/>
      <c r="E29" s="52"/>
      <c r="F29" s="52"/>
      <c r="G29" s="52"/>
      <c r="H29" s="52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2.75">
      <c r="A30" s="85"/>
      <c r="B30" s="54"/>
      <c r="C30" s="52"/>
      <c r="D30" s="52"/>
      <c r="E30" s="52"/>
      <c r="F30" s="52"/>
      <c r="G30" s="52"/>
      <c r="H30" s="52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2.75" customHeight="1">
      <c r="A31" s="1240" t="s">
        <v>160</v>
      </c>
      <c r="B31" s="1240"/>
      <c r="C31" s="1240"/>
      <c r="D31" s="1240"/>
      <c r="E31" s="52"/>
      <c r="F31" s="52"/>
      <c r="G31" s="52"/>
      <c r="H31" s="52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25.5" customHeight="1">
      <c r="A32" s="1240"/>
      <c r="B32" s="1240"/>
      <c r="C32" s="1240"/>
      <c r="D32" s="1240"/>
      <c r="E32" s="52"/>
      <c r="F32" s="52"/>
      <c r="G32" s="52"/>
      <c r="H32" s="52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3.5" thickBot="1">
      <c r="A33" s="399"/>
      <c r="B33" s="399"/>
      <c r="C33" s="399"/>
      <c r="D33" s="52"/>
      <c r="E33" s="52"/>
      <c r="F33" s="52"/>
      <c r="G33" s="52"/>
      <c r="H33" s="52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51.75" thickTop="1">
      <c r="A34" s="479" t="s">
        <v>441</v>
      </c>
      <c r="B34" s="480" t="s">
        <v>161</v>
      </c>
      <c r="C34" s="480" t="s">
        <v>162</v>
      </c>
      <c r="D34" s="481" t="s">
        <v>481</v>
      </c>
      <c r="E34" s="52"/>
      <c r="F34" s="52"/>
      <c r="G34" s="52"/>
      <c r="H34" s="52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2.75">
      <c r="A35" s="457"/>
      <c r="B35" s="458"/>
      <c r="C35" s="456"/>
      <c r="D35" s="482"/>
      <c r="E35" s="52"/>
      <c r="F35" s="52"/>
      <c r="G35" s="52"/>
      <c r="H35" s="52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2.75">
      <c r="A36" s="483" t="s">
        <v>467</v>
      </c>
      <c r="B36" s="17">
        <f>B69*K11</f>
        <v>501281</v>
      </c>
      <c r="C36" s="478">
        <f>F11*K11</f>
        <v>473222</v>
      </c>
      <c r="D36" s="484">
        <f>C36-B36</f>
        <v>-28059</v>
      </c>
      <c r="E36" s="52"/>
      <c r="F36" s="52"/>
      <c r="G36" s="52"/>
      <c r="H36" s="52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2.75">
      <c r="A37" s="485" t="s">
        <v>468</v>
      </c>
      <c r="B37" s="17">
        <f>B70*K12</f>
        <v>723749.5995641515</v>
      </c>
      <c r="C37" s="478">
        <f>F12*K12</f>
        <v>541212</v>
      </c>
      <c r="D37" s="484">
        <f>C37-B37</f>
        <v>-182537.5995641515</v>
      </c>
      <c r="E37" s="52"/>
      <c r="F37" s="52"/>
      <c r="G37" s="52"/>
      <c r="H37" s="52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2.75">
      <c r="A38" s="485" t="s">
        <v>469</v>
      </c>
      <c r="B38" s="17">
        <f>B71*K13</f>
        <v>831508.0631980387</v>
      </c>
      <c r="C38" s="478">
        <f>F13*K13</f>
        <v>709352</v>
      </c>
      <c r="D38" s="484">
        <f>C38-B38</f>
        <v>-122156.06319803873</v>
      </c>
      <c r="E38" s="52"/>
      <c r="F38" s="52"/>
      <c r="G38" s="52"/>
      <c r="H38" s="52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2.75">
      <c r="A39" s="485" t="s">
        <v>470</v>
      </c>
      <c r="B39" s="17">
        <f>B72*K14</f>
        <v>1653220</v>
      </c>
      <c r="C39" s="478">
        <f>F14*K14</f>
        <v>1641430</v>
      </c>
      <c r="D39" s="484">
        <f>C39-B39</f>
        <v>-11790</v>
      </c>
      <c r="E39" s="52"/>
      <c r="F39" s="52"/>
      <c r="G39" s="52"/>
      <c r="H39" s="52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2.75">
      <c r="A40" s="485" t="s">
        <v>471</v>
      </c>
      <c r="B40" s="17">
        <f>B73*K15</f>
        <v>349440</v>
      </c>
      <c r="C40" s="478">
        <f>F15*K15</f>
        <v>338520</v>
      </c>
      <c r="D40" s="484">
        <f>C40-B40</f>
        <v>-10920</v>
      </c>
      <c r="E40" s="52"/>
      <c r="F40" s="52"/>
      <c r="G40" s="52"/>
      <c r="H40" s="52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3.5" thickBot="1">
      <c r="A41" s="474" t="s">
        <v>422</v>
      </c>
      <c r="B41" s="486">
        <f>SUM(B36:B40)</f>
        <v>4059198.66276219</v>
      </c>
      <c r="C41" s="44">
        <f>SUM(C36:C40)</f>
        <v>3703736</v>
      </c>
      <c r="D41" s="487">
        <f>SUM(D36:D40)</f>
        <v>-355462.6627621902</v>
      </c>
      <c r="E41" s="52"/>
      <c r="F41" s="52"/>
      <c r="G41" s="52"/>
      <c r="H41" s="52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3.5" thickTop="1">
      <c r="A42" s="85"/>
      <c r="B42" s="54"/>
      <c r="C42" s="52"/>
      <c r="D42" s="52"/>
      <c r="E42" s="52"/>
      <c r="F42" s="52"/>
      <c r="G42" s="52"/>
      <c r="H42" s="52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2.75">
      <c r="A43" s="85"/>
      <c r="B43" s="54"/>
      <c r="C43" s="52"/>
      <c r="D43" s="52"/>
      <c r="E43" s="52"/>
      <c r="F43" s="52"/>
      <c r="G43" s="52"/>
      <c r="H43" s="52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26.25" customHeight="1">
      <c r="A44" s="53"/>
      <c r="B44" s="1238" t="s">
        <v>201</v>
      </c>
      <c r="C44" s="1238"/>
      <c r="D44" s="1238"/>
      <c r="E44" s="1234" t="s">
        <v>202</v>
      </c>
      <c r="F44" s="1234"/>
      <c r="G44" s="1234"/>
      <c r="H44" s="1239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2.75">
      <c r="A45" s="53"/>
      <c r="B45" s="1154" t="s">
        <v>200</v>
      </c>
      <c r="C45" s="1154"/>
      <c r="D45" s="1154"/>
      <c r="E45" s="1155" t="s">
        <v>478</v>
      </c>
      <c r="F45" s="1155"/>
      <c r="G45" s="1155"/>
      <c r="H45" s="1239"/>
      <c r="I45" s="55"/>
      <c r="J45" s="55"/>
      <c r="K45" s="55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2.75">
      <c r="A46" s="53"/>
      <c r="B46" s="56" t="s">
        <v>479</v>
      </c>
      <c r="C46" s="56" t="s">
        <v>480</v>
      </c>
      <c r="D46" s="56" t="s">
        <v>481</v>
      </c>
      <c r="E46" s="52" t="s">
        <v>482</v>
      </c>
      <c r="F46" s="52" t="s">
        <v>483</v>
      </c>
      <c r="G46" s="52" t="s">
        <v>481</v>
      </c>
      <c r="H46" s="52"/>
      <c r="I46" s="55"/>
      <c r="J46" s="55"/>
      <c r="K46" s="55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2.75">
      <c r="A47" s="57" t="s">
        <v>467</v>
      </c>
      <c r="B47" s="52">
        <f>C11*H11</f>
        <v>443534</v>
      </c>
      <c r="C47" s="52">
        <f>C11*K11</f>
        <v>484963</v>
      </c>
      <c r="D47" s="52">
        <f aca="true" t="shared" si="0" ref="D47:D52">C47-B47</f>
        <v>41429</v>
      </c>
      <c r="E47" s="54">
        <f>C11*H11</f>
        <v>443534</v>
      </c>
      <c r="F47" s="54">
        <f>F11*H11</f>
        <v>432796</v>
      </c>
      <c r="G47" s="52">
        <f>F47-E47</f>
        <v>-10738</v>
      </c>
      <c r="H47" s="52"/>
      <c r="I47" s="52"/>
      <c r="J47" s="52"/>
      <c r="K47" s="52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2.75">
      <c r="A48" s="58" t="s">
        <v>468</v>
      </c>
      <c r="B48" s="52">
        <f>C12*H12</f>
        <v>652069</v>
      </c>
      <c r="C48" s="52">
        <f>C12*K12</f>
        <v>711348</v>
      </c>
      <c r="D48" s="52">
        <f t="shared" si="0"/>
        <v>59279</v>
      </c>
      <c r="E48" s="54">
        <f>C12*H12</f>
        <v>652069</v>
      </c>
      <c r="F48" s="54">
        <f>F12*H12</f>
        <v>496111</v>
      </c>
      <c r="G48" s="52">
        <f>F48-E48</f>
        <v>-155958</v>
      </c>
      <c r="H48" s="52"/>
      <c r="I48" s="52"/>
      <c r="J48" s="52"/>
      <c r="K48" s="52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2.75">
      <c r="A49" s="58" t="s">
        <v>469</v>
      </c>
      <c r="B49" s="52">
        <f>C13*H13</f>
        <v>747870</v>
      </c>
      <c r="C49" s="52">
        <f>C13*K13</f>
        <v>817260</v>
      </c>
      <c r="D49" s="52">
        <f t="shared" si="0"/>
        <v>69390</v>
      </c>
      <c r="E49" s="54">
        <f>C13*H13</f>
        <v>747870</v>
      </c>
      <c r="F49" s="54">
        <f>F13*H13</f>
        <v>649124</v>
      </c>
      <c r="G49" s="52">
        <f>F49-E49</f>
        <v>-98746</v>
      </c>
      <c r="H49" s="52"/>
      <c r="I49" s="52"/>
      <c r="J49" s="52"/>
      <c r="K49" s="52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2.75">
      <c r="A50" s="58" t="s">
        <v>470</v>
      </c>
      <c r="B50" s="52">
        <f>C14*H14</f>
        <v>1462320</v>
      </c>
      <c r="C50" s="52">
        <f>C14*K14</f>
        <v>1596366</v>
      </c>
      <c r="D50" s="52">
        <f t="shared" si="0"/>
        <v>134046</v>
      </c>
      <c r="E50" s="54">
        <f>C14*H14</f>
        <v>1462320</v>
      </c>
      <c r="F50" s="54">
        <f>F14*H14</f>
        <v>1503600</v>
      </c>
      <c r="G50" s="52">
        <f>F50-E50</f>
        <v>41280</v>
      </c>
      <c r="H50" s="56"/>
      <c r="I50" s="56"/>
      <c r="J50" s="56"/>
      <c r="K50" s="56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3.5" thickBot="1">
      <c r="A51" s="59" t="s">
        <v>471</v>
      </c>
      <c r="B51" s="52">
        <f>C15*H15</f>
        <v>342000</v>
      </c>
      <c r="C51" s="52">
        <f>C15*K15</f>
        <v>378000</v>
      </c>
      <c r="D51" s="52">
        <f t="shared" si="0"/>
        <v>36000</v>
      </c>
      <c r="E51" s="54">
        <f>C15*H15</f>
        <v>342000</v>
      </c>
      <c r="F51" s="54">
        <f>F15*H15</f>
        <v>306280</v>
      </c>
      <c r="G51" s="52">
        <f>F51-E51</f>
        <v>-35720</v>
      </c>
      <c r="H51" s="56"/>
      <c r="I51" s="56"/>
      <c r="J51" s="56"/>
      <c r="K51" s="56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3.5" thickTop="1">
      <c r="A52" s="18" t="s">
        <v>422</v>
      </c>
      <c r="B52" s="52">
        <f>SUM(B47:B51)</f>
        <v>3647793</v>
      </c>
      <c r="C52" s="52">
        <f>SUM(C47:C51)</f>
        <v>3987937</v>
      </c>
      <c r="D52" s="60">
        <f t="shared" si="0"/>
        <v>340144</v>
      </c>
      <c r="E52" s="54">
        <f>SUM(E47:E51)</f>
        <v>3647793</v>
      </c>
      <c r="F52" s="54">
        <f>SUM(F47:F51)</f>
        <v>3387911</v>
      </c>
      <c r="G52" s="61">
        <f>SUM(G47:G51)</f>
        <v>-259882</v>
      </c>
      <c r="H52" s="18">
        <f>D52+G52</f>
        <v>80262</v>
      </c>
      <c r="I52" s="1233">
        <f>H52-H23</f>
        <v>80262</v>
      </c>
      <c r="J52" s="1233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2.75">
      <c r="A53" s="18"/>
      <c r="B53" s="52"/>
      <c r="C53" s="52"/>
      <c r="D53" s="60"/>
      <c r="E53" s="54"/>
      <c r="F53" s="54"/>
      <c r="G53" s="61"/>
      <c r="H53" s="18"/>
      <c r="I53" s="62"/>
      <c r="J53" s="62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27" customHeight="1">
      <c r="A54" s="18"/>
      <c r="B54" s="1234"/>
      <c r="C54" s="1234"/>
      <c r="D54" s="1234"/>
      <c r="E54" s="1234"/>
      <c r="F54" s="1234"/>
      <c r="G54" s="1234"/>
      <c r="I54" s="1235" t="s">
        <v>484</v>
      </c>
      <c r="J54" s="1236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27" customHeight="1">
      <c r="A55" s="18"/>
      <c r="B55" s="63"/>
      <c r="C55" s="63"/>
      <c r="D55" s="63"/>
      <c r="E55" s="63"/>
      <c r="F55" s="63"/>
      <c r="G55" s="63"/>
      <c r="H55" s="64"/>
      <c r="I55" s="65"/>
      <c r="J55" s="65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27" customHeight="1">
      <c r="A56" s="18"/>
      <c r="B56" s="63"/>
      <c r="C56" s="63"/>
      <c r="D56" s="63"/>
      <c r="E56" s="63"/>
      <c r="F56" s="63"/>
      <c r="G56" s="63"/>
      <c r="H56" s="64"/>
      <c r="I56" s="65"/>
      <c r="J56" s="65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27" customHeight="1">
      <c r="A57" s="18"/>
      <c r="B57" s="63"/>
      <c r="C57" s="63"/>
      <c r="D57" s="63"/>
      <c r="E57" s="63"/>
      <c r="F57" s="63"/>
      <c r="G57" s="63"/>
      <c r="H57" s="64"/>
      <c r="I57" s="65"/>
      <c r="J57" s="65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27" customHeight="1">
      <c r="A58" s="18"/>
      <c r="B58" s="63"/>
      <c r="C58" s="63"/>
      <c r="D58" s="63"/>
      <c r="E58" s="63"/>
      <c r="F58" s="63"/>
      <c r="G58" s="63"/>
      <c r="H58" s="64"/>
      <c r="I58" s="65"/>
      <c r="J58" s="65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27" customHeight="1">
      <c r="A59" s="18"/>
      <c r="B59" s="63"/>
      <c r="C59" s="63"/>
      <c r="D59" s="63"/>
      <c r="E59" s="63"/>
      <c r="F59" s="63"/>
      <c r="G59" s="63"/>
      <c r="H59" s="64"/>
      <c r="I59" s="65"/>
      <c r="J59" s="65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27" customHeight="1">
      <c r="A60" s="18"/>
      <c r="B60" s="63"/>
      <c r="C60" s="63"/>
      <c r="D60" s="63"/>
      <c r="E60" s="63"/>
      <c r="F60" s="63"/>
      <c r="G60" s="63"/>
      <c r="H60" s="64"/>
      <c r="I60" s="65"/>
      <c r="J60" s="65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27" customHeight="1">
      <c r="A61" s="18"/>
      <c r="B61" s="63"/>
      <c r="C61" s="63"/>
      <c r="D61" s="63"/>
      <c r="E61" s="63"/>
      <c r="F61" s="63"/>
      <c r="G61" s="63"/>
      <c r="H61" s="64"/>
      <c r="I61" s="65"/>
      <c r="J61" s="65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2.75">
      <c r="A62" s="16"/>
      <c r="B62" s="16"/>
      <c r="C62" s="16"/>
      <c r="D62" s="16"/>
      <c r="E62" s="16"/>
      <c r="F62" s="16"/>
      <c r="G62" s="56"/>
      <c r="H62" s="56"/>
      <c r="I62" s="56"/>
      <c r="J62" s="56"/>
      <c r="K62" s="56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>
      <c r="A63" s="16"/>
      <c r="B63" s="16">
        <v>7470</v>
      </c>
      <c r="C63" s="16"/>
      <c r="D63" s="16"/>
      <c r="E63" s="16"/>
      <c r="F63" s="16"/>
      <c r="G63" s="56"/>
      <c r="H63" s="56"/>
      <c r="I63" s="56"/>
      <c r="J63" s="56"/>
      <c r="K63" s="56"/>
      <c r="N63" s="68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0"/>
    </row>
    <row r="64" spans="1:26" ht="13.5" thickBot="1">
      <c r="A64" s="18"/>
      <c r="B64" s="18"/>
      <c r="C64" s="18"/>
      <c r="D64" s="18"/>
      <c r="E64" s="18"/>
      <c r="F64" s="18"/>
      <c r="G64" s="18"/>
      <c r="H64" s="66"/>
      <c r="I64" s="18"/>
      <c r="J64" s="67" t="s">
        <v>485</v>
      </c>
      <c r="N64" s="68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40"/>
    </row>
    <row r="65" spans="1:26" ht="13.5" thickTop="1">
      <c r="A65" s="1223" t="s">
        <v>455</v>
      </c>
      <c r="B65" s="1226" t="s">
        <v>486</v>
      </c>
      <c r="C65" s="1227"/>
      <c r="D65" s="1228"/>
      <c r="E65" s="1215" t="s">
        <v>487</v>
      </c>
      <c r="F65" s="1216"/>
      <c r="G65" s="1217"/>
      <c r="H65" s="1215" t="s">
        <v>488</v>
      </c>
      <c r="I65" s="1217"/>
      <c r="J65" s="1229" t="s">
        <v>489</v>
      </c>
      <c r="N65" s="68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40"/>
    </row>
    <row r="66" spans="1:26" ht="12.75">
      <c r="A66" s="1224"/>
      <c r="B66" s="1218" t="s">
        <v>490</v>
      </c>
      <c r="C66" s="1218" t="s">
        <v>491</v>
      </c>
      <c r="D66" s="1218" t="s">
        <v>492</v>
      </c>
      <c r="E66" s="1218" t="s">
        <v>490</v>
      </c>
      <c r="F66" s="1218" t="s">
        <v>491</v>
      </c>
      <c r="G66" s="1218" t="s">
        <v>492</v>
      </c>
      <c r="H66" s="1218" t="s">
        <v>493</v>
      </c>
      <c r="I66" s="1218" t="s">
        <v>494</v>
      </c>
      <c r="J66" s="1230"/>
      <c r="N66" s="3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40"/>
    </row>
    <row r="67" spans="1:26" ht="13.5" thickBot="1">
      <c r="A67" s="1225"/>
      <c r="B67" s="1219"/>
      <c r="C67" s="1219"/>
      <c r="D67" s="1219"/>
      <c r="E67" s="1219"/>
      <c r="F67" s="1219"/>
      <c r="G67" s="1219"/>
      <c r="H67" s="1219"/>
      <c r="I67" s="1219"/>
      <c r="J67" s="1231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3.5" thickTop="1">
      <c r="A68" s="18"/>
      <c r="B68" s="18"/>
      <c r="C68" s="18"/>
      <c r="D68" s="18"/>
      <c r="E68" s="18"/>
      <c r="F68" s="18"/>
      <c r="G68" s="18"/>
      <c r="H68" s="66"/>
      <c r="I68" s="18"/>
      <c r="J68" s="18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>
      <c r="A69" s="29" t="s">
        <v>467</v>
      </c>
      <c r="B69" s="29">
        <v>2519</v>
      </c>
      <c r="C69" s="29">
        <v>130</v>
      </c>
      <c r="D69" s="72">
        <f>B69*C69</f>
        <v>327470</v>
      </c>
      <c r="E69" s="29">
        <v>2437</v>
      </c>
      <c r="F69" s="29">
        <v>182</v>
      </c>
      <c r="G69" s="72">
        <f>E69*F69</f>
        <v>443534</v>
      </c>
      <c r="H69" s="73">
        <f>((E69/B69)-1)*100</f>
        <v>-3.2552600238189733</v>
      </c>
      <c r="I69" s="74">
        <f>(F69/C69-1)*100</f>
        <v>39.99999999999999</v>
      </c>
      <c r="J69" s="75">
        <f aca="true" t="shared" si="1" ref="J69:J74">G69-D69</f>
        <v>116064</v>
      </c>
      <c r="K69" s="1214" t="s">
        <v>502</v>
      </c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2.75">
      <c r="A70" s="35" t="s">
        <v>468</v>
      </c>
      <c r="B70" s="29">
        <f>B63/(E70+E71)*E70</f>
        <v>3547.7921547262326</v>
      </c>
      <c r="C70" s="73">
        <v>135.3</v>
      </c>
      <c r="D70" s="72">
        <f>B70*C70</f>
        <v>480016.2785344593</v>
      </c>
      <c r="E70" s="76">
        <v>3487</v>
      </c>
      <c r="F70" s="29">
        <v>187</v>
      </c>
      <c r="G70" s="72">
        <f>E70*F70</f>
        <v>652069</v>
      </c>
      <c r="H70" s="73">
        <f>((E70/B70)-1)*100</f>
        <v>-1.7135207496653315</v>
      </c>
      <c r="I70" s="74">
        <f>(F70/C70-1)*100</f>
        <v>38.21138211382114</v>
      </c>
      <c r="J70" s="75">
        <f t="shared" si="1"/>
        <v>172052.7214655407</v>
      </c>
      <c r="K70" s="1214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2.75">
      <c r="A71" s="35" t="s">
        <v>469</v>
      </c>
      <c r="B71" s="29">
        <f>B63-B70</f>
        <v>3922.2078452737674</v>
      </c>
      <c r="C71" s="73">
        <v>135.3</v>
      </c>
      <c r="D71" s="72">
        <f>B71*C71</f>
        <v>530674.7214655408</v>
      </c>
      <c r="E71" s="76">
        <v>3855</v>
      </c>
      <c r="F71" s="29">
        <v>194</v>
      </c>
      <c r="G71" s="72">
        <f>E71*F71</f>
        <v>747870</v>
      </c>
      <c r="H71" s="73"/>
      <c r="I71" s="74"/>
      <c r="J71" s="75">
        <f t="shared" si="1"/>
        <v>217195.27853445918</v>
      </c>
      <c r="K71" s="1214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2.75">
      <c r="A72" s="35" t="s">
        <v>470</v>
      </c>
      <c r="B72" s="29">
        <v>6310</v>
      </c>
      <c r="C72" s="73">
        <v>161.2</v>
      </c>
      <c r="D72" s="72">
        <f>B72*C72</f>
        <v>1017171.9999999999</v>
      </c>
      <c r="E72" s="29">
        <v>6093</v>
      </c>
      <c r="F72" s="29">
        <v>240</v>
      </c>
      <c r="G72" s="72">
        <f>E72*F72</f>
        <v>1462320</v>
      </c>
      <c r="H72" s="73">
        <f>((E72/B72)-1)*100</f>
        <v>-3.438985736925515</v>
      </c>
      <c r="I72" s="74">
        <f>(F72/C72-1)*100</f>
        <v>48.88337468982631</v>
      </c>
      <c r="J72" s="75">
        <f t="shared" si="1"/>
        <v>445148.0000000001</v>
      </c>
      <c r="K72" s="1214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2.75">
      <c r="A73" s="35" t="s">
        <v>471</v>
      </c>
      <c r="B73" s="29">
        <v>1664</v>
      </c>
      <c r="C73" s="29">
        <v>135.3</v>
      </c>
      <c r="D73" s="72">
        <f>B73*C73</f>
        <v>225139.2</v>
      </c>
      <c r="E73" s="29">
        <v>1800</v>
      </c>
      <c r="F73" s="29">
        <v>190</v>
      </c>
      <c r="G73" s="72">
        <f>E73*F73</f>
        <v>342000</v>
      </c>
      <c r="H73" s="73">
        <f>((E73/B73)-1)*100</f>
        <v>8.173076923076916</v>
      </c>
      <c r="I73" s="74">
        <f>(F73/C73-1)*100</f>
        <v>40.42867701404285</v>
      </c>
      <c r="J73" s="75">
        <f t="shared" si="1"/>
        <v>116860.79999999999</v>
      </c>
      <c r="K73" s="1214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>
      <c r="A74" s="77"/>
      <c r="B74" s="78">
        <f>SUM(B69:B73)</f>
        <v>17963</v>
      </c>
      <c r="C74" s="79"/>
      <c r="D74" s="72">
        <f>SUM(D69:D73)</f>
        <v>2580472.2</v>
      </c>
      <c r="E74" s="72">
        <f>SUM(E69:E73)</f>
        <v>17672</v>
      </c>
      <c r="F74" s="80"/>
      <c r="G74" s="72">
        <f>SUM(G69:G73)</f>
        <v>3647793</v>
      </c>
      <c r="H74" s="80"/>
      <c r="I74" s="80"/>
      <c r="J74" s="80">
        <f t="shared" si="1"/>
        <v>1067320.7999999998</v>
      </c>
      <c r="K74" s="1214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>
      <c r="A75" s="81"/>
      <c r="B75" s="81"/>
      <c r="C75" s="81"/>
      <c r="D75" s="81"/>
      <c r="E75" s="81"/>
      <c r="F75" s="81"/>
      <c r="G75" s="81"/>
      <c r="H75" s="81"/>
      <c r="I75" s="81"/>
      <c r="J75" s="81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>
      <c r="A76" s="29" t="s">
        <v>467</v>
      </c>
      <c r="B76" s="29">
        <f>B69</f>
        <v>2519</v>
      </c>
      <c r="C76" s="29">
        <f>C69</f>
        <v>130</v>
      </c>
      <c r="D76" s="72">
        <f>B76*C76</f>
        <v>327470</v>
      </c>
      <c r="E76" s="29">
        <f>B76</f>
        <v>2519</v>
      </c>
      <c r="F76" s="29">
        <f>F69</f>
        <v>182</v>
      </c>
      <c r="G76" s="72">
        <f>E76*F76</f>
        <v>458458</v>
      </c>
      <c r="H76" s="73">
        <f>((E76/B76)-1)*100</f>
        <v>0</v>
      </c>
      <c r="I76" s="74">
        <f>(F76/C76-1)*100</f>
        <v>39.99999999999999</v>
      </c>
      <c r="J76" s="75">
        <f>G76-D76</f>
        <v>130988</v>
      </c>
      <c r="K76" s="1213" t="s">
        <v>501</v>
      </c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2.75">
      <c r="A77" s="35" t="s">
        <v>468</v>
      </c>
      <c r="B77" s="29">
        <f>B70</f>
        <v>3547.7921547262326</v>
      </c>
      <c r="C77" s="73">
        <f>C70</f>
        <v>135.3</v>
      </c>
      <c r="D77" s="72">
        <f>B77*C77</f>
        <v>480016.2785344593</v>
      </c>
      <c r="E77" s="29">
        <f>B77</f>
        <v>3547.7921547262326</v>
      </c>
      <c r="F77" s="29">
        <f>F70</f>
        <v>187</v>
      </c>
      <c r="G77" s="72">
        <f>E77*F77</f>
        <v>663437.1329338055</v>
      </c>
      <c r="H77" s="73">
        <f>((E77/B77)-1)*100</f>
        <v>0</v>
      </c>
      <c r="I77" s="74">
        <f>(F77/C77-1)*100</f>
        <v>38.21138211382114</v>
      </c>
      <c r="J77" s="75">
        <f>G77-D77</f>
        <v>183420.85439934616</v>
      </c>
      <c r="K77" s="1213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2.75">
      <c r="A78" s="35" t="s">
        <v>469</v>
      </c>
      <c r="B78" s="29">
        <f>B71</f>
        <v>3922.2078452737674</v>
      </c>
      <c r="C78" s="73">
        <v>135.3</v>
      </c>
      <c r="D78" s="72">
        <f>B78*C78</f>
        <v>530674.7214655408</v>
      </c>
      <c r="E78" s="29">
        <f>B78</f>
        <v>3922.2078452737674</v>
      </c>
      <c r="F78" s="29">
        <f>F71</f>
        <v>194</v>
      </c>
      <c r="G78" s="72">
        <f>E78*F78</f>
        <v>760908.3219831109</v>
      </c>
      <c r="H78" s="73">
        <f>((E78/B78)-1)*100</f>
        <v>0</v>
      </c>
      <c r="I78" s="74">
        <f>(F78/C78-1)*100</f>
        <v>43.385070214338505</v>
      </c>
      <c r="J78" s="75">
        <f>G78-D78</f>
        <v>230233.60051757004</v>
      </c>
      <c r="K78" s="1213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2.75">
      <c r="A79" s="35" t="s">
        <v>470</v>
      </c>
      <c r="B79" s="29">
        <f>B72</f>
        <v>6310</v>
      </c>
      <c r="C79" s="29">
        <f>C72</f>
        <v>161.2</v>
      </c>
      <c r="D79" s="72">
        <f>B79*C79</f>
        <v>1017171.9999999999</v>
      </c>
      <c r="E79" s="29">
        <f>B79</f>
        <v>6310</v>
      </c>
      <c r="F79" s="29">
        <f>F72</f>
        <v>240</v>
      </c>
      <c r="G79" s="72">
        <f>E79*F79</f>
        <v>1514400</v>
      </c>
      <c r="H79" s="73">
        <f>((E79/B79)-1)*100</f>
        <v>0</v>
      </c>
      <c r="I79" s="74">
        <f>(F79/C79-1)*100</f>
        <v>48.88337468982631</v>
      </c>
      <c r="J79" s="75">
        <f>G79-D79</f>
        <v>497228.0000000001</v>
      </c>
      <c r="K79" s="1213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2.75">
      <c r="A80" s="35" t="s">
        <v>471</v>
      </c>
      <c r="B80" s="29">
        <f>B73</f>
        <v>1664</v>
      </c>
      <c r="C80" s="29">
        <f>C73</f>
        <v>135.3</v>
      </c>
      <c r="D80" s="72">
        <f>B80*C80</f>
        <v>225139.2</v>
      </c>
      <c r="E80" s="29">
        <f>B80</f>
        <v>1664</v>
      </c>
      <c r="F80" s="29">
        <f>F73</f>
        <v>190</v>
      </c>
      <c r="G80" s="72">
        <f>E80*F80</f>
        <v>316160</v>
      </c>
      <c r="H80" s="73">
        <f>((E80/B80)-1)*100</f>
        <v>0</v>
      </c>
      <c r="I80" s="74">
        <f>(F80/C80-1)*100</f>
        <v>40.42867701404285</v>
      </c>
      <c r="J80" s="75">
        <f>G80-D80</f>
        <v>91020.79999999999</v>
      </c>
      <c r="K80" s="1213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2.75">
      <c r="A81" s="1220">
        <f>SUM(J76:J80)</f>
        <v>1132891.2549169164</v>
      </c>
      <c r="B81" s="1221"/>
      <c r="C81" s="1221"/>
      <c r="D81" s="1221"/>
      <c r="E81" s="1221"/>
      <c r="F81" s="1221"/>
      <c r="G81" s="1221"/>
      <c r="H81" s="1221"/>
      <c r="I81" s="1221"/>
      <c r="J81" s="1222"/>
      <c r="K81" s="1213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2.75">
      <c r="A82" s="36"/>
      <c r="B82" s="36"/>
      <c r="C82" s="36"/>
      <c r="D82" s="81"/>
      <c r="E82" s="36"/>
      <c r="F82" s="36"/>
      <c r="G82" s="81"/>
      <c r="H82" s="38"/>
      <c r="I82" s="82"/>
      <c r="J82" s="81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>
      <c r="A83" s="29" t="s">
        <v>467</v>
      </c>
      <c r="B83" s="29">
        <f aca="true" t="shared" si="2" ref="B83:C87">B69</f>
        <v>2519</v>
      </c>
      <c r="C83" s="29">
        <f t="shared" si="2"/>
        <v>130</v>
      </c>
      <c r="D83" s="72">
        <f>B83*C83</f>
        <v>327470</v>
      </c>
      <c r="E83" s="29">
        <f>E69</f>
        <v>2437</v>
      </c>
      <c r="F83" s="29">
        <f>C69</f>
        <v>130</v>
      </c>
      <c r="G83" s="72">
        <f>E83*F83</f>
        <v>316810</v>
      </c>
      <c r="H83" s="73">
        <f>((E83/B83)-1)*100</f>
        <v>-3.2552600238189733</v>
      </c>
      <c r="I83" s="74">
        <f>(F83/C83-1)*100</f>
        <v>0</v>
      </c>
      <c r="J83" s="75">
        <f>G83-D83</f>
        <v>-10660</v>
      </c>
      <c r="K83" s="1213" t="s">
        <v>504</v>
      </c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2.75">
      <c r="A84" s="35" t="s">
        <v>468</v>
      </c>
      <c r="B84" s="29">
        <f t="shared" si="2"/>
        <v>3547.7921547262326</v>
      </c>
      <c r="C84" s="29">
        <f t="shared" si="2"/>
        <v>135.3</v>
      </c>
      <c r="D84" s="72">
        <f>B84*C84</f>
        <v>480016.2785344593</v>
      </c>
      <c r="E84" s="29">
        <f>E70</f>
        <v>3487</v>
      </c>
      <c r="F84" s="29">
        <f>C70</f>
        <v>135.3</v>
      </c>
      <c r="G84" s="72">
        <f>E84*F84</f>
        <v>471791.10000000003</v>
      </c>
      <c r="H84" s="73">
        <f>((E84/B84)-1)*100</f>
        <v>-1.7135207496653315</v>
      </c>
      <c r="I84" s="74">
        <f>(F84/C84-1)*100</f>
        <v>0</v>
      </c>
      <c r="J84" s="75">
        <f>G84-D84</f>
        <v>-8225.178534459264</v>
      </c>
      <c r="K84" s="1213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2.75">
      <c r="A85" s="35" t="s">
        <v>469</v>
      </c>
      <c r="B85" s="29">
        <f t="shared" si="2"/>
        <v>3922.2078452737674</v>
      </c>
      <c r="C85" s="29">
        <f t="shared" si="2"/>
        <v>135.3</v>
      </c>
      <c r="D85" s="72">
        <f>B85*C85</f>
        <v>530674.7214655408</v>
      </c>
      <c r="E85" s="29">
        <f>E71</f>
        <v>3855</v>
      </c>
      <c r="F85" s="29">
        <v>135.3</v>
      </c>
      <c r="G85" s="72">
        <f>E85*F85</f>
        <v>521581.50000000006</v>
      </c>
      <c r="H85" s="73"/>
      <c r="I85" s="74"/>
      <c r="J85" s="75">
        <f>G85-D85</f>
        <v>-9093.221465540759</v>
      </c>
      <c r="K85" s="1213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11" ht="12.75">
      <c r="A86" s="35" t="s">
        <v>470</v>
      </c>
      <c r="B86" s="29">
        <f t="shared" si="2"/>
        <v>6310</v>
      </c>
      <c r="C86" s="29">
        <f t="shared" si="2"/>
        <v>161.2</v>
      </c>
      <c r="D86" s="72">
        <f>B86*C86</f>
        <v>1017171.9999999999</v>
      </c>
      <c r="E86" s="29">
        <f>E72</f>
        <v>6093</v>
      </c>
      <c r="F86" s="29">
        <f>C72</f>
        <v>161.2</v>
      </c>
      <c r="G86" s="72">
        <f>E86*F86</f>
        <v>982191.6</v>
      </c>
      <c r="H86" s="73">
        <f>((E86/B86)-1)*100</f>
        <v>-3.438985736925515</v>
      </c>
      <c r="I86" s="74">
        <f>(F86/C86-1)*100</f>
        <v>0</v>
      </c>
      <c r="J86" s="75">
        <f>G86-D86</f>
        <v>-34980.39999999991</v>
      </c>
      <c r="K86" s="1213"/>
    </row>
    <row r="87" spans="1:11" ht="12.75">
      <c r="A87" s="35" t="s">
        <v>471</v>
      </c>
      <c r="B87" s="29">
        <f t="shared" si="2"/>
        <v>1664</v>
      </c>
      <c r="C87" s="29">
        <f t="shared" si="2"/>
        <v>135.3</v>
      </c>
      <c r="D87" s="72">
        <f>B87*C87</f>
        <v>225139.2</v>
      </c>
      <c r="E87" s="29">
        <f>E73</f>
        <v>1800</v>
      </c>
      <c r="F87" s="29">
        <f>C73</f>
        <v>135.3</v>
      </c>
      <c r="G87" s="72">
        <f>E87*F87</f>
        <v>243540.00000000003</v>
      </c>
      <c r="H87" s="73">
        <f>((E87/B87)-1)*100</f>
        <v>8.173076923076916</v>
      </c>
      <c r="I87" s="74">
        <f>(F87/C87-1)*100</f>
        <v>0</v>
      </c>
      <c r="J87" s="75">
        <f>G87-D87</f>
        <v>18400.800000000017</v>
      </c>
      <c r="K87" s="1213"/>
    </row>
    <row r="88" spans="1:11" ht="12.75">
      <c r="A88" s="1232">
        <f>SUM(J83:J87)</f>
        <v>-44557.99999999991</v>
      </c>
      <c r="B88" s="1232"/>
      <c r="C88" s="1232"/>
      <c r="D88" s="1232"/>
      <c r="E88" s="1232"/>
      <c r="F88" s="1232"/>
      <c r="G88" s="1232"/>
      <c r="H88" s="1232"/>
      <c r="I88" s="1232"/>
      <c r="J88" s="1232"/>
      <c r="K88" s="1213"/>
    </row>
    <row r="89" spans="10:11" ht="12.75">
      <c r="J89" s="84">
        <f>-(A81+A88-J74)</f>
        <v>-21012.454916916555</v>
      </c>
      <c r="K89" t="str">
        <f>K117</f>
        <v>Összetétel vált hat</v>
      </c>
    </row>
    <row r="91" spans="1:10" ht="13.5" thickBot="1">
      <c r="A91" s="18"/>
      <c r="B91" s="18"/>
      <c r="C91" s="18"/>
      <c r="D91" s="18"/>
      <c r="E91" s="18"/>
      <c r="F91" s="18"/>
      <c r="G91" s="18"/>
      <c r="H91" s="66"/>
      <c r="I91" s="18"/>
      <c r="J91" s="67" t="s">
        <v>485</v>
      </c>
    </row>
    <row r="92" spans="1:10" ht="13.5" thickTop="1">
      <c r="A92" s="1223" t="s">
        <v>455</v>
      </c>
      <c r="B92" s="1226" t="s">
        <v>495</v>
      </c>
      <c r="C92" s="1227"/>
      <c r="D92" s="1228"/>
      <c r="E92" s="1215" t="s">
        <v>496</v>
      </c>
      <c r="F92" s="1216"/>
      <c r="G92" s="1217"/>
      <c r="H92" s="1215" t="s">
        <v>488</v>
      </c>
      <c r="I92" s="1217"/>
      <c r="J92" s="1229" t="s">
        <v>489</v>
      </c>
    </row>
    <row r="93" spans="1:10" ht="12.75">
      <c r="A93" s="1224"/>
      <c r="B93" s="1218" t="s">
        <v>490</v>
      </c>
      <c r="C93" s="1218" t="s">
        <v>491</v>
      </c>
      <c r="D93" s="1218" t="s">
        <v>492</v>
      </c>
      <c r="E93" s="1218" t="s">
        <v>490</v>
      </c>
      <c r="F93" s="1218" t="s">
        <v>491</v>
      </c>
      <c r="G93" s="1218" t="s">
        <v>492</v>
      </c>
      <c r="H93" s="1218" t="s">
        <v>493</v>
      </c>
      <c r="I93" s="1218" t="s">
        <v>494</v>
      </c>
      <c r="J93" s="1230"/>
    </row>
    <row r="94" spans="1:10" ht="13.5" thickBot="1">
      <c r="A94" s="1225"/>
      <c r="B94" s="1219"/>
      <c r="C94" s="1219"/>
      <c r="D94" s="1219"/>
      <c r="E94" s="1219"/>
      <c r="F94" s="1219"/>
      <c r="G94" s="1219"/>
      <c r="H94" s="1219"/>
      <c r="I94" s="1219"/>
      <c r="J94" s="1231"/>
    </row>
    <row r="95" spans="1:10" ht="13.5" thickTop="1">
      <c r="A95" s="18"/>
      <c r="B95" s="18"/>
      <c r="C95" s="18"/>
      <c r="D95" s="18"/>
      <c r="E95" s="18"/>
      <c r="F95" s="18"/>
      <c r="G95" s="18"/>
      <c r="H95" s="66"/>
      <c r="I95" s="18"/>
      <c r="J95" s="18"/>
    </row>
    <row r="96" spans="1:10" ht="12.75">
      <c r="A96" s="83"/>
      <c r="B96" s="83"/>
      <c r="C96" s="83"/>
      <c r="D96" s="83"/>
      <c r="E96" s="83"/>
      <c r="F96" s="83"/>
      <c r="G96" s="83"/>
      <c r="H96" s="83"/>
      <c r="I96" s="83"/>
      <c r="J96" s="83"/>
    </row>
    <row r="97" spans="1:11" ht="12.75">
      <c r="A97" s="29" t="s">
        <v>467</v>
      </c>
      <c r="B97" s="29">
        <v>2437</v>
      </c>
      <c r="C97" s="29">
        <v>182</v>
      </c>
      <c r="D97" s="72">
        <f>B97*C97</f>
        <v>443534</v>
      </c>
      <c r="E97" s="29">
        <v>2423</v>
      </c>
      <c r="F97" s="29">
        <v>189</v>
      </c>
      <c r="G97" s="72">
        <f>E97*F97</f>
        <v>457947</v>
      </c>
      <c r="H97" s="73">
        <f>((E97/B97)-1)*100</f>
        <v>-0.5744768157570745</v>
      </c>
      <c r="I97" s="74">
        <f>(F97/C97-1)*100</f>
        <v>3.8461538461538547</v>
      </c>
      <c r="J97" s="75">
        <f>G97-D97</f>
        <v>14413</v>
      </c>
      <c r="K97" s="1214" t="s">
        <v>502</v>
      </c>
    </row>
    <row r="98" spans="1:11" ht="12.75">
      <c r="A98" s="35" t="s">
        <v>468</v>
      </c>
      <c r="B98" s="76">
        <v>3487</v>
      </c>
      <c r="C98" s="29">
        <v>187</v>
      </c>
      <c r="D98" s="72">
        <f>B98*C98</f>
        <v>652069</v>
      </c>
      <c r="E98" s="76">
        <v>3221</v>
      </c>
      <c r="F98" s="29">
        <v>193</v>
      </c>
      <c r="G98" s="72">
        <f>E98*F98</f>
        <v>621653</v>
      </c>
      <c r="H98" s="73">
        <f>((E98/B98)-1)*100</f>
        <v>-7.628333811299115</v>
      </c>
      <c r="I98" s="74">
        <f>(F98/C98-1)*100</f>
        <v>3.208556149732611</v>
      </c>
      <c r="J98" s="75">
        <f>G98-D98</f>
        <v>-30416</v>
      </c>
      <c r="K98" s="1214"/>
    </row>
    <row r="99" spans="1:11" ht="12.75">
      <c r="A99" s="35" t="s">
        <v>469</v>
      </c>
      <c r="B99" s="76">
        <v>3855</v>
      </c>
      <c r="C99" s="29">
        <v>194</v>
      </c>
      <c r="D99" s="72">
        <f>B99*C99</f>
        <v>747870</v>
      </c>
      <c r="E99" s="76">
        <v>3725</v>
      </c>
      <c r="F99" s="29">
        <v>202</v>
      </c>
      <c r="G99" s="72">
        <f>E99*F99</f>
        <v>752450</v>
      </c>
      <c r="H99" s="73">
        <f>((E99/B99)-1)*100</f>
        <v>-3.3722438391699083</v>
      </c>
      <c r="I99" s="74">
        <f>(F99/C99-1)*100</f>
        <v>4.123711340206193</v>
      </c>
      <c r="J99" s="75">
        <f>G99-D99</f>
        <v>4580</v>
      </c>
      <c r="K99" s="1214"/>
    </row>
    <row r="100" spans="1:11" ht="12.75">
      <c r="A100" s="35" t="s">
        <v>470</v>
      </c>
      <c r="B100" s="29">
        <v>6093</v>
      </c>
      <c r="C100" s="29">
        <v>240</v>
      </c>
      <c r="D100" s="72">
        <f>B100*C100</f>
        <v>1462320</v>
      </c>
      <c r="E100" s="29">
        <v>6247</v>
      </c>
      <c r="F100" s="29">
        <v>248</v>
      </c>
      <c r="G100" s="72">
        <f>E100*F100</f>
        <v>1549256</v>
      </c>
      <c r="H100" s="73">
        <f>((E100/B100)-1)*100</f>
        <v>2.5274905629410815</v>
      </c>
      <c r="I100" s="74">
        <f>(F100/C100-1)*100</f>
        <v>3.3333333333333437</v>
      </c>
      <c r="J100" s="75">
        <f>G100-D100</f>
        <v>86936</v>
      </c>
      <c r="K100" s="1214"/>
    </row>
    <row r="101" spans="1:11" ht="12.75">
      <c r="A101" s="35" t="s">
        <v>471</v>
      </c>
      <c r="B101" s="29">
        <v>1800</v>
      </c>
      <c r="C101" s="29">
        <v>190</v>
      </c>
      <c r="D101" s="72">
        <f>B101*C101</f>
        <v>342000</v>
      </c>
      <c r="E101" s="29">
        <v>1676</v>
      </c>
      <c r="F101" s="29">
        <v>197</v>
      </c>
      <c r="G101" s="72">
        <f>E101*F101</f>
        <v>330172</v>
      </c>
      <c r="H101" s="73">
        <f>((E101/B101)-1)*100</f>
        <v>-6.888888888888889</v>
      </c>
      <c r="I101" s="74">
        <f>(F101/C101-1)*100</f>
        <v>3.6842105263157787</v>
      </c>
      <c r="J101" s="75">
        <f>G101-D101</f>
        <v>-11828</v>
      </c>
      <c r="K101" s="1214"/>
    </row>
    <row r="102" spans="1:11" ht="12.75">
      <c r="A102" s="1232">
        <f>SUM(J97:J101)</f>
        <v>63685</v>
      </c>
      <c r="B102" s="1232"/>
      <c r="C102" s="1232"/>
      <c r="D102" s="1232"/>
      <c r="E102" s="1232"/>
      <c r="F102" s="1232"/>
      <c r="G102" s="1232"/>
      <c r="H102" s="1232"/>
      <c r="I102" s="1232"/>
      <c r="J102" s="1232"/>
      <c r="K102" s="1214"/>
    </row>
    <row r="103" spans="1:10" ht="12.75">
      <c r="A103" s="81"/>
      <c r="B103" s="81"/>
      <c r="C103" s="81"/>
      <c r="D103" s="81"/>
      <c r="E103" s="81"/>
      <c r="F103" s="81"/>
      <c r="G103" s="81"/>
      <c r="H103" s="81"/>
      <c r="I103" s="81"/>
      <c r="J103" s="81"/>
    </row>
    <row r="104" spans="1:11" ht="12.75">
      <c r="A104" s="29" t="s">
        <v>467</v>
      </c>
      <c r="B104" s="29">
        <f>B97</f>
        <v>2437</v>
      </c>
      <c r="C104" s="29">
        <f>C97</f>
        <v>182</v>
      </c>
      <c r="D104" s="72">
        <f>B104*C104</f>
        <v>443534</v>
      </c>
      <c r="E104" s="29">
        <f>B104</f>
        <v>2437</v>
      </c>
      <c r="F104" s="29">
        <f>F97</f>
        <v>189</v>
      </c>
      <c r="G104" s="72">
        <f>E104*F104</f>
        <v>460593</v>
      </c>
      <c r="H104" s="73">
        <f>((E104/B104)-1)*100</f>
        <v>0</v>
      </c>
      <c r="I104" s="74">
        <f>(F104/C104-1)*100</f>
        <v>3.8461538461538547</v>
      </c>
      <c r="J104" s="75">
        <f>G104-D104</f>
        <v>17059</v>
      </c>
      <c r="K104" s="1213" t="s">
        <v>501</v>
      </c>
    </row>
    <row r="105" spans="1:11" ht="12.75">
      <c r="A105" s="35" t="s">
        <v>468</v>
      </c>
      <c r="B105" s="29">
        <f>B98</f>
        <v>3487</v>
      </c>
      <c r="C105" s="29">
        <f>C98</f>
        <v>187</v>
      </c>
      <c r="D105" s="72">
        <f>B105*C105</f>
        <v>652069</v>
      </c>
      <c r="E105" s="29">
        <f>B105</f>
        <v>3487</v>
      </c>
      <c r="F105" s="29">
        <f>F98</f>
        <v>193</v>
      </c>
      <c r="G105" s="72">
        <f>E105*F105</f>
        <v>672991</v>
      </c>
      <c r="H105" s="73">
        <f>((E105/B105)-1)*100</f>
        <v>0</v>
      </c>
      <c r="I105" s="74">
        <f>(F105/C105-1)*100</f>
        <v>3.208556149732611</v>
      </c>
      <c r="J105" s="75">
        <f>G105-D105</f>
        <v>20922</v>
      </c>
      <c r="K105" s="1213"/>
    </row>
    <row r="106" spans="1:11" ht="12.75">
      <c r="A106" s="35" t="s">
        <v>469</v>
      </c>
      <c r="B106" s="29">
        <f>B99</f>
        <v>3855</v>
      </c>
      <c r="C106" s="29">
        <v>194</v>
      </c>
      <c r="D106" s="72">
        <f>B106*C106</f>
        <v>747870</v>
      </c>
      <c r="E106" s="29">
        <f>B106</f>
        <v>3855</v>
      </c>
      <c r="F106" s="29">
        <f>F99</f>
        <v>202</v>
      </c>
      <c r="G106" s="72">
        <f>E106*F106</f>
        <v>778710</v>
      </c>
      <c r="H106" s="73">
        <f>((E106/B106)-1)*100</f>
        <v>0</v>
      </c>
      <c r="I106" s="74">
        <f>(F106/C106-1)*100</f>
        <v>4.123711340206193</v>
      </c>
      <c r="J106" s="75">
        <f>G106-D106</f>
        <v>30840</v>
      </c>
      <c r="K106" s="1213"/>
    </row>
    <row r="107" spans="1:11" ht="12.75">
      <c r="A107" s="35" t="s">
        <v>470</v>
      </c>
      <c r="B107" s="29">
        <f>B100</f>
        <v>6093</v>
      </c>
      <c r="C107" s="29">
        <f>C100</f>
        <v>240</v>
      </c>
      <c r="D107" s="72">
        <f>B107*C107</f>
        <v>1462320</v>
      </c>
      <c r="E107" s="29">
        <f>B107</f>
        <v>6093</v>
      </c>
      <c r="F107" s="29">
        <f>F100</f>
        <v>248</v>
      </c>
      <c r="G107" s="72">
        <f>E107*F107</f>
        <v>1511064</v>
      </c>
      <c r="H107" s="73">
        <f>((E107/B107)-1)*100</f>
        <v>0</v>
      </c>
      <c r="I107" s="74">
        <f>(F107/C107-1)*100</f>
        <v>3.3333333333333437</v>
      </c>
      <c r="J107" s="75">
        <f>G107-D107</f>
        <v>48744</v>
      </c>
      <c r="K107" s="1213"/>
    </row>
    <row r="108" spans="1:11" ht="12.75">
      <c r="A108" s="35" t="s">
        <v>471</v>
      </c>
      <c r="B108" s="29">
        <f>B101</f>
        <v>1800</v>
      </c>
      <c r="C108" s="29">
        <f>C101</f>
        <v>190</v>
      </c>
      <c r="D108" s="72">
        <f>B108*C108</f>
        <v>342000</v>
      </c>
      <c r="E108" s="29">
        <f>B108</f>
        <v>1800</v>
      </c>
      <c r="F108" s="29">
        <f>F101</f>
        <v>197</v>
      </c>
      <c r="G108" s="72">
        <f>E108*F108</f>
        <v>354600</v>
      </c>
      <c r="H108" s="73">
        <f>((E108/B108)-1)*100</f>
        <v>0</v>
      </c>
      <c r="I108" s="74">
        <f>(F108/C108-1)*100</f>
        <v>3.6842105263157787</v>
      </c>
      <c r="J108" s="75">
        <f>G108-D108</f>
        <v>12600</v>
      </c>
      <c r="K108" s="1213"/>
    </row>
    <row r="109" spans="1:11" ht="12.75">
      <c r="A109" s="1232">
        <f>SUM(J104:J108)</f>
        <v>130165</v>
      </c>
      <c r="B109" s="1232"/>
      <c r="C109" s="1232"/>
      <c r="D109" s="1232"/>
      <c r="E109" s="1232"/>
      <c r="F109" s="1232"/>
      <c r="G109" s="1232"/>
      <c r="H109" s="1232"/>
      <c r="I109" s="1232"/>
      <c r="J109" s="1232"/>
      <c r="K109" s="1213"/>
    </row>
    <row r="110" spans="1:10" ht="12.75">
      <c r="A110" s="36"/>
      <c r="B110" s="36"/>
      <c r="C110" s="36"/>
      <c r="D110" s="81"/>
      <c r="E110" s="36"/>
      <c r="F110" s="36"/>
      <c r="G110" s="81"/>
      <c r="H110" s="38"/>
      <c r="I110" s="82"/>
      <c r="J110" s="81"/>
    </row>
    <row r="111" spans="1:11" ht="12.75" customHeight="1">
      <c r="A111" s="29" t="s">
        <v>467</v>
      </c>
      <c r="B111" s="29">
        <f aca="true" t="shared" si="3" ref="B111:C115">B97</f>
        <v>2437</v>
      </c>
      <c r="C111" s="29">
        <f t="shared" si="3"/>
        <v>182</v>
      </c>
      <c r="D111" s="72">
        <f>B111*C111</f>
        <v>443534</v>
      </c>
      <c r="E111" s="29">
        <f>E97</f>
        <v>2423</v>
      </c>
      <c r="F111" s="29">
        <f>C97</f>
        <v>182</v>
      </c>
      <c r="G111" s="72">
        <f>E111*F111</f>
        <v>440986</v>
      </c>
      <c r="H111" s="73">
        <f>((E111/B111)-1)*100</f>
        <v>-0.5744768157570745</v>
      </c>
      <c r="I111" s="74">
        <f>(F111/C111-1)*100</f>
        <v>0</v>
      </c>
      <c r="J111" s="75">
        <f>G111-D111</f>
        <v>-2548</v>
      </c>
      <c r="K111" s="1213" t="s">
        <v>504</v>
      </c>
    </row>
    <row r="112" spans="1:11" ht="12.75">
      <c r="A112" s="35" t="s">
        <v>468</v>
      </c>
      <c r="B112" s="29">
        <f t="shared" si="3"/>
        <v>3487</v>
      </c>
      <c r="C112" s="29">
        <f t="shared" si="3"/>
        <v>187</v>
      </c>
      <c r="D112" s="72">
        <f>B112*C112</f>
        <v>652069</v>
      </c>
      <c r="E112" s="29">
        <f>E98</f>
        <v>3221</v>
      </c>
      <c r="F112" s="29">
        <f>C98</f>
        <v>187</v>
      </c>
      <c r="G112" s="72">
        <f>E112*F112</f>
        <v>602327</v>
      </c>
      <c r="H112" s="73">
        <f>((E112/B112)-1)*100</f>
        <v>-7.628333811299115</v>
      </c>
      <c r="I112" s="74">
        <f>(F112/C112-1)*100</f>
        <v>0</v>
      </c>
      <c r="J112" s="75">
        <f>G112-D112</f>
        <v>-49742</v>
      </c>
      <c r="K112" s="1213"/>
    </row>
    <row r="113" spans="1:11" ht="12.75">
      <c r="A113" s="35" t="s">
        <v>469</v>
      </c>
      <c r="B113" s="29">
        <f t="shared" si="3"/>
        <v>3855</v>
      </c>
      <c r="C113" s="29">
        <f t="shared" si="3"/>
        <v>194</v>
      </c>
      <c r="D113" s="72">
        <f>B113*C113</f>
        <v>747870</v>
      </c>
      <c r="E113" s="29">
        <f>E99</f>
        <v>3725</v>
      </c>
      <c r="F113" s="29">
        <v>194</v>
      </c>
      <c r="G113" s="72">
        <f>E113*F113</f>
        <v>722650</v>
      </c>
      <c r="H113" s="73">
        <f>((E113/B113)-1)*100</f>
        <v>-3.3722438391699083</v>
      </c>
      <c r="I113" s="74">
        <f>(F113/C113-1)*100</f>
        <v>0</v>
      </c>
      <c r="J113" s="75">
        <f>G113-D113</f>
        <v>-25220</v>
      </c>
      <c r="K113" s="1213"/>
    </row>
    <row r="114" spans="1:11" ht="12.75">
      <c r="A114" s="35" t="s">
        <v>470</v>
      </c>
      <c r="B114" s="29">
        <f t="shared" si="3"/>
        <v>6093</v>
      </c>
      <c r="C114" s="29">
        <f t="shared" si="3"/>
        <v>240</v>
      </c>
      <c r="D114" s="72">
        <f>B114*C114</f>
        <v>1462320</v>
      </c>
      <c r="E114" s="29">
        <f>E100</f>
        <v>6247</v>
      </c>
      <c r="F114" s="29">
        <f>C100</f>
        <v>240</v>
      </c>
      <c r="G114" s="72">
        <f>E114*F114</f>
        <v>1499280</v>
      </c>
      <c r="H114" s="73">
        <f>((E114/B114)-1)*100</f>
        <v>2.5274905629410815</v>
      </c>
      <c r="I114" s="74">
        <f>(F114/C114-1)*100</f>
        <v>0</v>
      </c>
      <c r="J114" s="75">
        <f>G114-D114</f>
        <v>36960</v>
      </c>
      <c r="K114" s="1213"/>
    </row>
    <row r="115" spans="1:11" ht="12.75">
      <c r="A115" s="35" t="s">
        <v>471</v>
      </c>
      <c r="B115" s="29">
        <f t="shared" si="3"/>
        <v>1800</v>
      </c>
      <c r="C115" s="29">
        <f t="shared" si="3"/>
        <v>190</v>
      </c>
      <c r="D115" s="72">
        <f>B115*C115</f>
        <v>342000</v>
      </c>
      <c r="E115" s="29">
        <f>E101</f>
        <v>1676</v>
      </c>
      <c r="F115" s="29">
        <f>C101</f>
        <v>190</v>
      </c>
      <c r="G115" s="72">
        <f>E115*F115</f>
        <v>318440</v>
      </c>
      <c r="H115" s="73">
        <f>((E115/B115)-1)*100</f>
        <v>-6.888888888888889</v>
      </c>
      <c r="I115" s="74">
        <f>(F115/C115-1)*100</f>
        <v>0</v>
      </c>
      <c r="J115" s="75">
        <f>G115-D115</f>
        <v>-23560</v>
      </c>
      <c r="K115" s="1213"/>
    </row>
    <row r="116" spans="1:13" ht="12.75">
      <c r="A116" s="1232">
        <f>SUM(J111:J115)</f>
        <v>-64110</v>
      </c>
      <c r="B116" s="1232"/>
      <c r="C116" s="1232"/>
      <c r="D116" s="1232"/>
      <c r="E116" s="1232"/>
      <c r="F116" s="1232"/>
      <c r="G116" s="1232"/>
      <c r="H116" s="1232"/>
      <c r="I116" s="1232"/>
      <c r="J116" s="1232"/>
      <c r="K116" s="1213"/>
      <c r="M116" s="1">
        <f>A109+A116</f>
        <v>66055</v>
      </c>
    </row>
    <row r="117" spans="10:11" ht="12.75">
      <c r="J117" s="84">
        <f>-(A109+A116-A102)</f>
        <v>-2370</v>
      </c>
      <c r="K117" t="str">
        <f>K146</f>
        <v>Összetétel vált hat</v>
      </c>
    </row>
    <row r="118" ht="12.75">
      <c r="J118" s="1"/>
    </row>
    <row r="119" spans="1:10" ht="13.5" thickBot="1">
      <c r="A119" s="18"/>
      <c r="B119" s="18"/>
      <c r="C119" s="18"/>
      <c r="D119" s="18"/>
      <c r="E119" s="18"/>
      <c r="F119" s="18"/>
      <c r="G119" s="18"/>
      <c r="H119" s="66"/>
      <c r="I119" s="18"/>
      <c r="J119" s="67" t="s">
        <v>485</v>
      </c>
    </row>
    <row r="120" spans="1:10" ht="13.5" thickTop="1">
      <c r="A120" s="1223" t="s">
        <v>455</v>
      </c>
      <c r="B120" s="1226" t="s">
        <v>497</v>
      </c>
      <c r="C120" s="1227"/>
      <c r="D120" s="1228"/>
      <c r="E120" s="1215" t="s">
        <v>498</v>
      </c>
      <c r="F120" s="1216"/>
      <c r="G120" s="1217"/>
      <c r="H120" s="1215" t="s">
        <v>488</v>
      </c>
      <c r="I120" s="1217"/>
      <c r="J120" s="1229" t="s">
        <v>489</v>
      </c>
    </row>
    <row r="121" spans="1:10" ht="12.75">
      <c r="A121" s="1224"/>
      <c r="B121" s="1218" t="s">
        <v>490</v>
      </c>
      <c r="C121" s="1218" t="s">
        <v>491</v>
      </c>
      <c r="D121" s="1218" t="s">
        <v>492</v>
      </c>
      <c r="E121" s="1218" t="s">
        <v>490</v>
      </c>
      <c r="F121" s="1218" t="s">
        <v>491</v>
      </c>
      <c r="G121" s="1218" t="s">
        <v>492</v>
      </c>
      <c r="H121" s="1218" t="s">
        <v>493</v>
      </c>
      <c r="I121" s="1218" t="s">
        <v>494</v>
      </c>
      <c r="J121" s="1230"/>
    </row>
    <row r="122" spans="1:10" ht="13.5" thickBot="1">
      <c r="A122" s="1225"/>
      <c r="B122" s="1219"/>
      <c r="C122" s="1219"/>
      <c r="D122" s="1219"/>
      <c r="E122" s="1219"/>
      <c r="F122" s="1219"/>
      <c r="G122" s="1219"/>
      <c r="H122" s="1219"/>
      <c r="I122" s="1219"/>
      <c r="J122" s="1231"/>
    </row>
    <row r="123" spans="1:10" ht="13.5" thickTop="1">
      <c r="A123" s="18"/>
      <c r="B123" s="18"/>
      <c r="C123" s="18"/>
      <c r="D123" s="18"/>
      <c r="E123" s="18"/>
      <c r="F123" s="18"/>
      <c r="G123" s="18"/>
      <c r="H123" s="66"/>
      <c r="I123" s="18"/>
      <c r="J123" s="18"/>
    </row>
    <row r="124" spans="1:10" ht="12.75">
      <c r="A124" s="19"/>
      <c r="B124" s="19"/>
      <c r="C124" s="19"/>
      <c r="D124" s="19"/>
      <c r="E124" s="19"/>
      <c r="F124" s="19"/>
      <c r="G124" s="19"/>
      <c r="H124" s="20"/>
      <c r="I124" s="20"/>
      <c r="J124" s="20"/>
    </row>
    <row r="125" spans="1:10" ht="12.75">
      <c r="A125" s="83"/>
      <c r="B125" s="83"/>
      <c r="C125" s="83"/>
      <c r="D125" s="83"/>
      <c r="E125" s="83"/>
      <c r="F125" s="83"/>
      <c r="G125" s="83"/>
      <c r="H125" s="83"/>
      <c r="I125" s="83"/>
      <c r="J125" s="83"/>
    </row>
    <row r="126" spans="1:11" ht="12.75">
      <c r="A126" s="29" t="s">
        <v>467</v>
      </c>
      <c r="B126" s="29">
        <f aca="true" t="shared" si="4" ref="B126:C130">E97</f>
        <v>2423</v>
      </c>
      <c r="C126" s="29">
        <f t="shared" si="4"/>
        <v>189</v>
      </c>
      <c r="D126" s="72">
        <f>B126*C126</f>
        <v>457947</v>
      </c>
      <c r="E126" s="29">
        <v>2406</v>
      </c>
      <c r="F126" s="29">
        <v>199</v>
      </c>
      <c r="G126" s="72">
        <f>E126*F126</f>
        <v>478794</v>
      </c>
      <c r="H126" s="73">
        <f>((E126/B126)-1)*100</f>
        <v>-0.701609574907136</v>
      </c>
      <c r="I126" s="74">
        <f>(F126/C126-1)*100</f>
        <v>5.291005291005302</v>
      </c>
      <c r="J126" s="75">
        <f>G126-D126</f>
        <v>20847</v>
      </c>
      <c r="K126" s="1214" t="s">
        <v>502</v>
      </c>
    </row>
    <row r="127" spans="1:11" ht="12.75">
      <c r="A127" s="35" t="s">
        <v>468</v>
      </c>
      <c r="B127" s="29">
        <f t="shared" si="4"/>
        <v>3221</v>
      </c>
      <c r="C127" s="73">
        <f t="shared" si="4"/>
        <v>193</v>
      </c>
      <c r="D127" s="72">
        <f>B127*C127</f>
        <v>621653</v>
      </c>
      <c r="E127" s="76">
        <v>2930</v>
      </c>
      <c r="F127" s="29">
        <v>204</v>
      </c>
      <c r="G127" s="72">
        <f>E127*F127</f>
        <v>597720</v>
      </c>
      <c r="H127" s="73">
        <f>((E127/B127)-1)*100</f>
        <v>-9.03446134740764</v>
      </c>
      <c r="I127" s="74">
        <f>(F127/C127-1)*100</f>
        <v>5.699481865284972</v>
      </c>
      <c r="J127" s="75">
        <f>G127-D127</f>
        <v>-23933</v>
      </c>
      <c r="K127" s="1214"/>
    </row>
    <row r="128" spans="1:11" ht="12.75">
      <c r="A128" s="35" t="s">
        <v>469</v>
      </c>
      <c r="B128" s="29">
        <f t="shared" si="4"/>
        <v>3725</v>
      </c>
      <c r="C128" s="29">
        <f t="shared" si="4"/>
        <v>202</v>
      </c>
      <c r="D128" s="72">
        <f>B128*C128</f>
        <v>752450</v>
      </c>
      <c r="E128" s="76">
        <v>3556</v>
      </c>
      <c r="F128" s="29">
        <v>212</v>
      </c>
      <c r="G128" s="72">
        <f>E128*F128</f>
        <v>753872</v>
      </c>
      <c r="H128" s="73">
        <f>((E128/B128)-1)*100</f>
        <v>-4.536912751677857</v>
      </c>
      <c r="I128" s="74">
        <f>(F128/C128-1)*100</f>
        <v>4.950495049504955</v>
      </c>
      <c r="J128" s="75">
        <f>G128-D128</f>
        <v>1422</v>
      </c>
      <c r="K128" s="1214"/>
    </row>
    <row r="129" spans="1:11" ht="12.75">
      <c r="A129" s="35" t="s">
        <v>470</v>
      </c>
      <c r="B129" s="29">
        <f t="shared" si="4"/>
        <v>6247</v>
      </c>
      <c r="C129" s="73">
        <f t="shared" si="4"/>
        <v>248</v>
      </c>
      <c r="D129" s="72">
        <f>B129*C129</f>
        <v>1549256</v>
      </c>
      <c r="E129" s="29">
        <v>6219</v>
      </c>
      <c r="F129" s="29">
        <v>262</v>
      </c>
      <c r="G129" s="72">
        <f>E129*F129</f>
        <v>1629378</v>
      </c>
      <c r="H129" s="73">
        <f>((E129/B129)-1)*100</f>
        <v>-0.4482151432687709</v>
      </c>
      <c r="I129" s="74">
        <f>(F129/C129-1)*100</f>
        <v>5.645161290322576</v>
      </c>
      <c r="J129" s="75">
        <f>G129-D129</f>
        <v>80122</v>
      </c>
      <c r="K129" s="1214"/>
    </row>
    <row r="130" spans="1:11" ht="12.75">
      <c r="A130" s="35" t="s">
        <v>471</v>
      </c>
      <c r="B130" s="29">
        <f t="shared" si="4"/>
        <v>1676</v>
      </c>
      <c r="C130" s="29">
        <f t="shared" si="4"/>
        <v>197</v>
      </c>
      <c r="D130" s="72">
        <f>B130*C130</f>
        <v>330172</v>
      </c>
      <c r="E130" s="29">
        <v>1650</v>
      </c>
      <c r="F130" s="29">
        <v>210</v>
      </c>
      <c r="G130" s="72">
        <f>E130*F130</f>
        <v>346500</v>
      </c>
      <c r="H130" s="73">
        <f>((E130/B130)-1)*100</f>
        <v>-1.5513126491646823</v>
      </c>
      <c r="I130" s="74">
        <f>(F130/C130-1)*100</f>
        <v>6.598984771573613</v>
      </c>
      <c r="J130" s="75">
        <f>G130-D130</f>
        <v>16328</v>
      </c>
      <c r="K130" s="1214"/>
    </row>
    <row r="131" spans="1:11" ht="12.75">
      <c r="A131" s="1232">
        <f>SUM(J126:J130)</f>
        <v>94786</v>
      </c>
      <c r="B131" s="1232"/>
      <c r="C131" s="1232"/>
      <c r="D131" s="1232"/>
      <c r="E131" s="1232"/>
      <c r="F131" s="1232"/>
      <c r="G131" s="1232"/>
      <c r="H131" s="1232"/>
      <c r="I131" s="1232"/>
      <c r="J131" s="1232"/>
      <c r="K131" s="1214"/>
    </row>
    <row r="132" spans="1:10" ht="12.75">
      <c r="A132" s="81"/>
      <c r="B132" s="81"/>
      <c r="C132" s="81"/>
      <c r="D132" s="81"/>
      <c r="E132" s="81"/>
      <c r="F132" s="81"/>
      <c r="G132" s="81"/>
      <c r="H132" s="81"/>
      <c r="I132" s="81"/>
      <c r="J132" s="81"/>
    </row>
    <row r="133" spans="1:11" ht="12.75">
      <c r="A133" s="29" t="s">
        <v>467</v>
      </c>
      <c r="B133" s="29">
        <f>B126</f>
        <v>2423</v>
      </c>
      <c r="C133" s="29">
        <f>C126</f>
        <v>189</v>
      </c>
      <c r="D133" s="72">
        <f>B133*C133</f>
        <v>457947</v>
      </c>
      <c r="E133" s="29">
        <f>B133</f>
        <v>2423</v>
      </c>
      <c r="F133" s="29">
        <f>F126</f>
        <v>199</v>
      </c>
      <c r="G133" s="72">
        <f>E133*F133</f>
        <v>482177</v>
      </c>
      <c r="H133" s="73">
        <f>((E133/B133)-1)*100</f>
        <v>0</v>
      </c>
      <c r="I133" s="74">
        <f>(F133/C133-1)*100</f>
        <v>5.291005291005302</v>
      </c>
      <c r="J133" s="75">
        <f>G133-D133</f>
        <v>24230</v>
      </c>
      <c r="K133" s="1213" t="s">
        <v>501</v>
      </c>
    </row>
    <row r="134" spans="1:11" ht="12.75">
      <c r="A134" s="35" t="s">
        <v>468</v>
      </c>
      <c r="B134" s="29">
        <f>B127</f>
        <v>3221</v>
      </c>
      <c r="C134" s="73">
        <f>C127</f>
        <v>193</v>
      </c>
      <c r="D134" s="72">
        <f>B134*C134</f>
        <v>621653</v>
      </c>
      <c r="E134" s="29">
        <f>B134</f>
        <v>3221</v>
      </c>
      <c r="F134" s="29">
        <f>F127</f>
        <v>204</v>
      </c>
      <c r="G134" s="72">
        <f>E134*F134</f>
        <v>657084</v>
      </c>
      <c r="H134" s="73">
        <f>((E134/B134)-1)*100</f>
        <v>0</v>
      </c>
      <c r="I134" s="74">
        <f>(F134/C134-1)*100</f>
        <v>5.699481865284972</v>
      </c>
      <c r="J134" s="75">
        <f>G134-D134</f>
        <v>35431</v>
      </c>
      <c r="K134" s="1213"/>
    </row>
    <row r="135" spans="1:11" ht="12.75">
      <c r="A135" s="35" t="s">
        <v>469</v>
      </c>
      <c r="B135" s="29">
        <f>B128</f>
        <v>3725</v>
      </c>
      <c r="C135" s="29">
        <v>202</v>
      </c>
      <c r="D135" s="72">
        <f>B135*C135</f>
        <v>752450</v>
      </c>
      <c r="E135" s="29">
        <f>B135</f>
        <v>3725</v>
      </c>
      <c r="F135" s="29">
        <f>F128</f>
        <v>212</v>
      </c>
      <c r="G135" s="72">
        <f>E135*F135</f>
        <v>789700</v>
      </c>
      <c r="H135" s="73">
        <f>((E135/B135)-1)*100</f>
        <v>0</v>
      </c>
      <c r="I135" s="74">
        <f>(F135/C135-1)*100</f>
        <v>4.950495049504955</v>
      </c>
      <c r="J135" s="75">
        <f>G135-D135</f>
        <v>37250</v>
      </c>
      <c r="K135" s="1213"/>
    </row>
    <row r="136" spans="1:11" ht="12.75">
      <c r="A136" s="35" t="s">
        <v>470</v>
      </c>
      <c r="B136" s="29">
        <f>B129</f>
        <v>6247</v>
      </c>
      <c r="C136" s="29">
        <f>C129</f>
        <v>248</v>
      </c>
      <c r="D136" s="72">
        <f>B136*C136</f>
        <v>1549256</v>
      </c>
      <c r="E136" s="29">
        <f>B136</f>
        <v>6247</v>
      </c>
      <c r="F136" s="29">
        <f>F129</f>
        <v>262</v>
      </c>
      <c r="G136" s="72">
        <f>E136*F136</f>
        <v>1636714</v>
      </c>
      <c r="H136" s="73">
        <f>((E136/B136)-1)*100</f>
        <v>0</v>
      </c>
      <c r="I136" s="74">
        <f>(F136/C136-1)*100</f>
        <v>5.645161290322576</v>
      </c>
      <c r="J136" s="75">
        <f>G136-D136</f>
        <v>87458</v>
      </c>
      <c r="K136" s="1213"/>
    </row>
    <row r="137" spans="1:11" ht="12.75">
      <c r="A137" s="35" t="s">
        <v>471</v>
      </c>
      <c r="B137" s="29">
        <f>B130</f>
        <v>1676</v>
      </c>
      <c r="C137" s="29">
        <f>C130</f>
        <v>197</v>
      </c>
      <c r="D137" s="72">
        <f>B137*C137</f>
        <v>330172</v>
      </c>
      <c r="E137" s="29">
        <f>B137</f>
        <v>1676</v>
      </c>
      <c r="F137" s="29">
        <f>F130</f>
        <v>210</v>
      </c>
      <c r="G137" s="72">
        <f>E137*F137</f>
        <v>351960</v>
      </c>
      <c r="H137" s="73">
        <f>((E137/B137)-1)*100</f>
        <v>0</v>
      </c>
      <c r="I137" s="74">
        <f>(F137/C137-1)*100</f>
        <v>6.598984771573613</v>
      </c>
      <c r="J137" s="75">
        <f>G137-D137</f>
        <v>21788</v>
      </c>
      <c r="K137" s="1213"/>
    </row>
    <row r="138" spans="1:11" ht="12.75">
      <c r="A138" s="1232">
        <f>SUM(J133:J137)</f>
        <v>206157</v>
      </c>
      <c r="B138" s="1232"/>
      <c r="C138" s="1232"/>
      <c r="D138" s="1232"/>
      <c r="E138" s="1232"/>
      <c r="F138" s="1232"/>
      <c r="G138" s="1232"/>
      <c r="H138" s="1232"/>
      <c r="I138" s="1232"/>
      <c r="J138" s="1232"/>
      <c r="K138" s="1213"/>
    </row>
    <row r="139" spans="1:10" ht="12.75">
      <c r="A139" s="36"/>
      <c r="B139" s="36"/>
      <c r="C139" s="36"/>
      <c r="D139" s="81"/>
      <c r="E139" s="36"/>
      <c r="F139" s="36"/>
      <c r="G139" s="81"/>
      <c r="H139" s="38"/>
      <c r="I139" s="82"/>
      <c r="J139" s="81"/>
    </row>
    <row r="140" spans="1:11" ht="12.75" customHeight="1">
      <c r="A140" s="29" t="s">
        <v>467</v>
      </c>
      <c r="B140" s="29">
        <f aca="true" t="shared" si="5" ref="B140:C144">B126</f>
        <v>2423</v>
      </c>
      <c r="C140" s="29">
        <f t="shared" si="5"/>
        <v>189</v>
      </c>
      <c r="D140" s="72">
        <f>B140*C140</f>
        <v>457947</v>
      </c>
      <c r="E140" s="29">
        <f>E126</f>
        <v>2406</v>
      </c>
      <c r="F140" s="29">
        <f>C126</f>
        <v>189</v>
      </c>
      <c r="G140" s="72">
        <f>E140*F140</f>
        <v>454734</v>
      </c>
      <c r="H140" s="73">
        <f>((E140/B140)-1)*100</f>
        <v>-0.701609574907136</v>
      </c>
      <c r="I140" s="74">
        <f>(F140/C140-1)*100</f>
        <v>0</v>
      </c>
      <c r="J140" s="75">
        <f>G140-D140</f>
        <v>-3213</v>
      </c>
      <c r="K140" s="1213" t="s">
        <v>504</v>
      </c>
    </row>
    <row r="141" spans="1:11" ht="12.75">
      <c r="A141" s="35" t="s">
        <v>468</v>
      </c>
      <c r="B141" s="29">
        <f t="shared" si="5"/>
        <v>3221</v>
      </c>
      <c r="C141" s="29">
        <f t="shared" si="5"/>
        <v>193</v>
      </c>
      <c r="D141" s="72">
        <f>B141*C141</f>
        <v>621653</v>
      </c>
      <c r="E141" s="29">
        <f>E127</f>
        <v>2930</v>
      </c>
      <c r="F141" s="29">
        <f>C127</f>
        <v>193</v>
      </c>
      <c r="G141" s="72">
        <f>E141*F141</f>
        <v>565490</v>
      </c>
      <c r="H141" s="73">
        <f>((E141/B141)-1)*100</f>
        <v>-9.03446134740764</v>
      </c>
      <c r="I141" s="74">
        <f>(F141/C141-1)*100</f>
        <v>0</v>
      </c>
      <c r="J141" s="75">
        <f>G141-D141</f>
        <v>-56163</v>
      </c>
      <c r="K141" s="1213"/>
    </row>
    <row r="142" spans="1:11" ht="12.75">
      <c r="A142" s="35" t="s">
        <v>469</v>
      </c>
      <c r="B142" s="29">
        <f t="shared" si="5"/>
        <v>3725</v>
      </c>
      <c r="C142" s="29">
        <f t="shared" si="5"/>
        <v>202</v>
      </c>
      <c r="D142" s="72">
        <f>B142*C142</f>
        <v>752450</v>
      </c>
      <c r="E142" s="29">
        <f>E128</f>
        <v>3556</v>
      </c>
      <c r="F142" s="29">
        <v>202</v>
      </c>
      <c r="G142" s="72">
        <f>E142*F142</f>
        <v>718312</v>
      </c>
      <c r="H142" s="73">
        <f>((E142/B142)-1)*100</f>
        <v>-4.536912751677857</v>
      </c>
      <c r="I142" s="74">
        <f>(F142/C142-1)*100</f>
        <v>0</v>
      </c>
      <c r="J142" s="75">
        <f>G142-D142</f>
        <v>-34138</v>
      </c>
      <c r="K142" s="1213"/>
    </row>
    <row r="143" spans="1:11" ht="12.75">
      <c r="A143" s="35" t="s">
        <v>470</v>
      </c>
      <c r="B143" s="29">
        <f t="shared" si="5"/>
        <v>6247</v>
      </c>
      <c r="C143" s="29">
        <f t="shared" si="5"/>
        <v>248</v>
      </c>
      <c r="D143" s="72">
        <f>B143*C143</f>
        <v>1549256</v>
      </c>
      <c r="E143" s="29">
        <f>E129</f>
        <v>6219</v>
      </c>
      <c r="F143" s="29">
        <f>C129</f>
        <v>248</v>
      </c>
      <c r="G143" s="72">
        <f>E143*F143</f>
        <v>1542312</v>
      </c>
      <c r="H143" s="73">
        <f>((E143/B143)-1)*100</f>
        <v>-0.4482151432687709</v>
      </c>
      <c r="I143" s="74">
        <f>(F143/C143-1)*100</f>
        <v>0</v>
      </c>
      <c r="J143" s="75">
        <f>G143-D143</f>
        <v>-6944</v>
      </c>
      <c r="K143" s="1213"/>
    </row>
    <row r="144" spans="1:11" ht="12.75">
      <c r="A144" s="35" t="s">
        <v>471</v>
      </c>
      <c r="B144" s="29">
        <f t="shared" si="5"/>
        <v>1676</v>
      </c>
      <c r="C144" s="29">
        <f t="shared" si="5"/>
        <v>197</v>
      </c>
      <c r="D144" s="72">
        <f>B144*C144</f>
        <v>330172</v>
      </c>
      <c r="E144" s="29">
        <f>E130</f>
        <v>1650</v>
      </c>
      <c r="F144" s="29">
        <f>C130</f>
        <v>197</v>
      </c>
      <c r="G144" s="72">
        <f>E144*F144</f>
        <v>325050</v>
      </c>
      <c r="H144" s="73">
        <f>((E144/B144)-1)*100</f>
        <v>-1.5513126491646823</v>
      </c>
      <c r="I144" s="74">
        <f>(F144/C144-1)*100</f>
        <v>0</v>
      </c>
      <c r="J144" s="75">
        <f>G144-D144</f>
        <v>-5122</v>
      </c>
      <c r="K144" s="1213"/>
    </row>
    <row r="145" spans="1:13" ht="12.75">
      <c r="A145" s="1232">
        <f>SUM(J140:J144)</f>
        <v>-105580</v>
      </c>
      <c r="B145" s="1232"/>
      <c r="C145" s="1232"/>
      <c r="D145" s="1232"/>
      <c r="E145" s="1232"/>
      <c r="F145" s="1232"/>
      <c r="G145" s="1232"/>
      <c r="H145" s="1232"/>
      <c r="I145" s="1232"/>
      <c r="J145" s="1232"/>
      <c r="K145" s="1213"/>
      <c r="M145" s="1">
        <f>A138+A145</f>
        <v>100577</v>
      </c>
    </row>
    <row r="146" spans="10:11" ht="12.75">
      <c r="J146" s="84">
        <f>-(A138+A145-A131)</f>
        <v>-5791</v>
      </c>
      <c r="K146" t="str">
        <f>K176</f>
        <v>Összetétel vált hat</v>
      </c>
    </row>
    <row r="149" spans="1:10" ht="13.5" thickBot="1">
      <c r="A149" s="18"/>
      <c r="B149" s="18"/>
      <c r="C149" s="18"/>
      <c r="D149" s="18"/>
      <c r="E149" s="18"/>
      <c r="F149" s="18"/>
      <c r="G149" s="18"/>
      <c r="H149" s="66"/>
      <c r="I149" s="18"/>
      <c r="J149" s="67" t="s">
        <v>485</v>
      </c>
    </row>
    <row r="150" spans="1:10" ht="13.5" thickTop="1">
      <c r="A150" s="1223" t="s">
        <v>455</v>
      </c>
      <c r="B150" s="1226" t="s">
        <v>499</v>
      </c>
      <c r="C150" s="1227"/>
      <c r="D150" s="1228"/>
      <c r="E150" s="1215" t="s">
        <v>500</v>
      </c>
      <c r="F150" s="1216"/>
      <c r="G150" s="1217"/>
      <c r="H150" s="1215" t="s">
        <v>488</v>
      </c>
      <c r="I150" s="1217"/>
      <c r="J150" s="1229" t="s">
        <v>489</v>
      </c>
    </row>
    <row r="151" spans="1:10" ht="12.75">
      <c r="A151" s="1224"/>
      <c r="B151" s="1218" t="s">
        <v>490</v>
      </c>
      <c r="C151" s="1218" t="s">
        <v>491</v>
      </c>
      <c r="D151" s="1218" t="s">
        <v>492</v>
      </c>
      <c r="E151" s="1218" t="s">
        <v>490</v>
      </c>
      <c r="F151" s="1218" t="s">
        <v>491</v>
      </c>
      <c r="G151" s="1218" t="s">
        <v>492</v>
      </c>
      <c r="H151" s="1218" t="s">
        <v>493</v>
      </c>
      <c r="I151" s="1218" t="s">
        <v>494</v>
      </c>
      <c r="J151" s="1230"/>
    </row>
    <row r="152" spans="1:10" ht="13.5" thickBot="1">
      <c r="A152" s="1225"/>
      <c r="B152" s="1219"/>
      <c r="C152" s="1219"/>
      <c r="D152" s="1219"/>
      <c r="E152" s="1219"/>
      <c r="F152" s="1219"/>
      <c r="G152" s="1219"/>
      <c r="H152" s="1219"/>
      <c r="I152" s="1219"/>
      <c r="J152" s="1231"/>
    </row>
    <row r="153" spans="1:10" ht="13.5" thickTop="1">
      <c r="A153" s="18"/>
      <c r="B153" s="18"/>
      <c r="C153" s="18"/>
      <c r="D153" s="18"/>
      <c r="E153" s="18"/>
      <c r="F153" s="18"/>
      <c r="G153" s="18"/>
      <c r="H153" s="66"/>
      <c r="I153" s="18"/>
      <c r="J153" s="18"/>
    </row>
    <row r="154" spans="1:10" ht="12.75">
      <c r="A154" s="19"/>
      <c r="B154" s="19"/>
      <c r="C154" s="19"/>
      <c r="D154" s="19"/>
      <c r="E154" s="19"/>
      <c r="F154" s="19"/>
      <c r="G154" s="19"/>
      <c r="H154" s="20"/>
      <c r="I154" s="20"/>
      <c r="J154" s="20"/>
    </row>
    <row r="155" spans="1:10" ht="12.75">
      <c r="A155" s="83"/>
      <c r="B155" s="83"/>
      <c r="C155" s="83"/>
      <c r="D155" s="83"/>
      <c r="E155" s="83"/>
      <c r="F155" s="83"/>
      <c r="G155" s="83"/>
      <c r="H155" s="83"/>
      <c r="I155" s="83"/>
      <c r="J155" s="83"/>
    </row>
    <row r="156" spans="1:11" ht="12.75">
      <c r="A156" s="29" t="s">
        <v>467</v>
      </c>
      <c r="B156" s="29">
        <f aca="true" t="shared" si="6" ref="B156:C160">E126</f>
        <v>2406</v>
      </c>
      <c r="C156" s="29">
        <f t="shared" si="6"/>
        <v>199</v>
      </c>
      <c r="D156" s="72">
        <f>B156*C156</f>
        <v>478794</v>
      </c>
      <c r="E156" s="29">
        <v>2378</v>
      </c>
      <c r="F156" s="29">
        <v>199</v>
      </c>
      <c r="G156" s="72">
        <f>E156*F156</f>
        <v>473222</v>
      </c>
      <c r="H156" s="73">
        <f>((E156/B156)-1)*100</f>
        <v>-1.163757273482957</v>
      </c>
      <c r="I156" s="74">
        <f>(F156/C156-1)*100</f>
        <v>0</v>
      </c>
      <c r="J156" s="75">
        <f>G156-D156</f>
        <v>-5572</v>
      </c>
      <c r="K156" s="1214" t="s">
        <v>502</v>
      </c>
    </row>
    <row r="157" spans="1:11" ht="12.75">
      <c r="A157" s="35" t="s">
        <v>468</v>
      </c>
      <c r="B157" s="29">
        <f t="shared" si="6"/>
        <v>2930</v>
      </c>
      <c r="C157" s="29">
        <f t="shared" si="6"/>
        <v>204</v>
      </c>
      <c r="D157" s="72">
        <f>B157*C157</f>
        <v>597720</v>
      </c>
      <c r="E157" s="76">
        <v>2653</v>
      </c>
      <c r="F157" s="29">
        <v>204</v>
      </c>
      <c r="G157" s="72">
        <f>E157*F157</f>
        <v>541212</v>
      </c>
      <c r="H157" s="73">
        <f>((E157/B157)-1)*100</f>
        <v>-9.45392491467577</v>
      </c>
      <c r="I157" s="74">
        <f>(F157/C157-1)*100</f>
        <v>0</v>
      </c>
      <c r="J157" s="75">
        <f>G157-D157</f>
        <v>-56508</v>
      </c>
      <c r="K157" s="1214"/>
    </row>
    <row r="158" spans="1:11" ht="12.75">
      <c r="A158" s="35" t="s">
        <v>469</v>
      </c>
      <c r="B158" s="29">
        <f t="shared" si="6"/>
        <v>3556</v>
      </c>
      <c r="C158" s="29">
        <f t="shared" si="6"/>
        <v>212</v>
      </c>
      <c r="D158" s="72">
        <f>B158*C158</f>
        <v>753872</v>
      </c>
      <c r="E158" s="76">
        <v>3346</v>
      </c>
      <c r="F158" s="29">
        <v>212</v>
      </c>
      <c r="G158" s="72">
        <f>E158*F158</f>
        <v>709352</v>
      </c>
      <c r="H158" s="73">
        <f>((E158/B158)-1)*100</f>
        <v>-5.905511811023622</v>
      </c>
      <c r="I158" s="74">
        <f>(F158/C158-1)*100</f>
        <v>0</v>
      </c>
      <c r="J158" s="75">
        <f>G158-D158</f>
        <v>-44520</v>
      </c>
      <c r="K158" s="1214"/>
    </row>
    <row r="159" spans="1:11" ht="12.75">
      <c r="A159" s="35" t="s">
        <v>470</v>
      </c>
      <c r="B159" s="29">
        <f t="shared" si="6"/>
        <v>6219</v>
      </c>
      <c r="C159" s="29">
        <f t="shared" si="6"/>
        <v>262</v>
      </c>
      <c r="D159" s="72">
        <f>B159*C159</f>
        <v>1629378</v>
      </c>
      <c r="E159" s="29">
        <v>6265</v>
      </c>
      <c r="F159" s="29">
        <v>262</v>
      </c>
      <c r="G159" s="72">
        <f>E159*F159</f>
        <v>1641430</v>
      </c>
      <c r="H159" s="73">
        <f>((E159/B159)-1)*100</f>
        <v>0.7396687570348837</v>
      </c>
      <c r="I159" s="74">
        <f>(F159/C159-1)*100</f>
        <v>0</v>
      </c>
      <c r="J159" s="75">
        <f>G159-D159</f>
        <v>12052</v>
      </c>
      <c r="K159" s="1214"/>
    </row>
    <row r="160" spans="1:11" ht="12.75">
      <c r="A160" s="35" t="s">
        <v>471</v>
      </c>
      <c r="B160" s="29">
        <f t="shared" si="6"/>
        <v>1650</v>
      </c>
      <c r="C160" s="29">
        <f t="shared" si="6"/>
        <v>210</v>
      </c>
      <c r="D160" s="72">
        <f>B160*C160</f>
        <v>346500</v>
      </c>
      <c r="E160" s="29">
        <v>1612</v>
      </c>
      <c r="F160" s="29">
        <v>210</v>
      </c>
      <c r="G160" s="72">
        <f>E160*F160</f>
        <v>338520</v>
      </c>
      <c r="H160" s="73">
        <f>((E160/B160)-1)*100</f>
        <v>-2.3030303030303068</v>
      </c>
      <c r="I160" s="74">
        <f>(F160/C160-1)*100</f>
        <v>0</v>
      </c>
      <c r="J160" s="75">
        <f>G160-D160</f>
        <v>-7980</v>
      </c>
      <c r="K160" s="1214"/>
    </row>
    <row r="161" spans="1:11" ht="12.75">
      <c r="A161" s="1232">
        <f>SUM(J156:J160)</f>
        <v>-102528</v>
      </c>
      <c r="B161" s="1232"/>
      <c r="C161" s="1232"/>
      <c r="D161" s="1232"/>
      <c r="E161" s="1232"/>
      <c r="F161" s="1232"/>
      <c r="G161" s="1232"/>
      <c r="H161" s="1232"/>
      <c r="I161" s="1232"/>
      <c r="J161" s="1232"/>
      <c r="K161" s="1214"/>
    </row>
    <row r="162" spans="1:10" ht="12.75">
      <c r="A162" s="81"/>
      <c r="B162" s="81"/>
      <c r="C162" s="81"/>
      <c r="D162" s="81"/>
      <c r="E162" s="81"/>
      <c r="F162" s="81"/>
      <c r="G162" s="81"/>
      <c r="H162" s="81"/>
      <c r="I162" s="81"/>
      <c r="J162" s="81"/>
    </row>
    <row r="163" spans="1:11" ht="12.75">
      <c r="A163" s="29" t="s">
        <v>467</v>
      </c>
      <c r="B163" s="29">
        <f>B156</f>
        <v>2406</v>
      </c>
      <c r="C163" s="29">
        <f>C156</f>
        <v>199</v>
      </c>
      <c r="D163" s="72">
        <f>B163*C163</f>
        <v>478794</v>
      </c>
      <c r="E163" s="29">
        <f>B163</f>
        <v>2406</v>
      </c>
      <c r="F163" s="29">
        <f>F156</f>
        <v>199</v>
      </c>
      <c r="G163" s="72">
        <f>E163*F163</f>
        <v>478794</v>
      </c>
      <c r="H163" s="73">
        <f>((E163/B163)-1)*100</f>
        <v>0</v>
      </c>
      <c r="I163" s="74">
        <f>(F163/C163-1)*100</f>
        <v>0</v>
      </c>
      <c r="J163" s="75">
        <f>G163-D163</f>
        <v>0</v>
      </c>
      <c r="K163" s="1213" t="s">
        <v>501</v>
      </c>
    </row>
    <row r="164" spans="1:11" ht="12.75">
      <c r="A164" s="35" t="s">
        <v>468</v>
      </c>
      <c r="B164" s="29">
        <f>B157</f>
        <v>2930</v>
      </c>
      <c r="C164" s="29">
        <f>C157</f>
        <v>204</v>
      </c>
      <c r="D164" s="72">
        <f>B164*C164</f>
        <v>597720</v>
      </c>
      <c r="E164" s="29">
        <f>B164</f>
        <v>2930</v>
      </c>
      <c r="F164" s="29">
        <f>F157</f>
        <v>204</v>
      </c>
      <c r="G164" s="72">
        <f>E164*F164</f>
        <v>597720</v>
      </c>
      <c r="H164" s="73">
        <f>((E164/B164)-1)*100</f>
        <v>0</v>
      </c>
      <c r="I164" s="74">
        <f>(F164/C164-1)*100</f>
        <v>0</v>
      </c>
      <c r="J164" s="75">
        <f>G164-D164</f>
        <v>0</v>
      </c>
      <c r="K164" s="1213"/>
    </row>
    <row r="165" spans="1:11" ht="12.75">
      <c r="A165" s="35" t="s">
        <v>469</v>
      </c>
      <c r="B165" s="29">
        <f>B158</f>
        <v>3556</v>
      </c>
      <c r="C165" s="29">
        <v>212</v>
      </c>
      <c r="D165" s="72">
        <f>B165*C165</f>
        <v>753872</v>
      </c>
      <c r="E165" s="29">
        <f>B165</f>
        <v>3556</v>
      </c>
      <c r="F165" s="29">
        <f>F158</f>
        <v>212</v>
      </c>
      <c r="G165" s="72">
        <f>E165*F165</f>
        <v>753872</v>
      </c>
      <c r="H165" s="73">
        <f>((E165/B165)-1)*100</f>
        <v>0</v>
      </c>
      <c r="I165" s="74">
        <f>(F165/C165-1)*100</f>
        <v>0</v>
      </c>
      <c r="J165" s="75">
        <f>G165-D165</f>
        <v>0</v>
      </c>
      <c r="K165" s="1213"/>
    </row>
    <row r="166" spans="1:11" ht="12.75">
      <c r="A166" s="35" t="s">
        <v>470</v>
      </c>
      <c r="B166" s="29">
        <f>B159</f>
        <v>6219</v>
      </c>
      <c r="C166" s="29">
        <f>C159</f>
        <v>262</v>
      </c>
      <c r="D166" s="72">
        <f>B166*C166</f>
        <v>1629378</v>
      </c>
      <c r="E166" s="29">
        <f>B166</f>
        <v>6219</v>
      </c>
      <c r="F166" s="29">
        <f>F159</f>
        <v>262</v>
      </c>
      <c r="G166" s="72">
        <f>E166*F166</f>
        <v>1629378</v>
      </c>
      <c r="H166" s="73">
        <f>((E166/B166)-1)*100</f>
        <v>0</v>
      </c>
      <c r="I166" s="74">
        <f>(F166/C166-1)*100</f>
        <v>0</v>
      </c>
      <c r="J166" s="75">
        <f>G166-D166</f>
        <v>0</v>
      </c>
      <c r="K166" s="1213"/>
    </row>
    <row r="167" spans="1:11" ht="12.75">
      <c r="A167" s="35" t="s">
        <v>471</v>
      </c>
      <c r="B167" s="29">
        <f>B160</f>
        <v>1650</v>
      </c>
      <c r="C167" s="29">
        <f>C160</f>
        <v>210</v>
      </c>
      <c r="D167" s="72">
        <f>B167*C167</f>
        <v>346500</v>
      </c>
      <c r="E167" s="29">
        <f>B167</f>
        <v>1650</v>
      </c>
      <c r="F167" s="29">
        <f>F160</f>
        <v>210</v>
      </c>
      <c r="G167" s="72">
        <f>E167*F167</f>
        <v>346500</v>
      </c>
      <c r="H167" s="73">
        <f>((E167/B167)-1)*100</f>
        <v>0</v>
      </c>
      <c r="I167" s="74">
        <f>(F167/C167-1)*100</f>
        <v>0</v>
      </c>
      <c r="J167" s="75">
        <f>G167-D167</f>
        <v>0</v>
      </c>
      <c r="K167" s="1213"/>
    </row>
    <row r="168" spans="1:11" ht="12.75">
      <c r="A168" s="1232">
        <f>SUM(J163:J167)</f>
        <v>0</v>
      </c>
      <c r="B168" s="1232"/>
      <c r="C168" s="1232"/>
      <c r="D168" s="1232"/>
      <c r="E168" s="1232"/>
      <c r="F168" s="1232"/>
      <c r="G168" s="1232"/>
      <c r="H168" s="1232"/>
      <c r="I168" s="1232"/>
      <c r="J168" s="1232"/>
      <c r="K168" s="1213"/>
    </row>
    <row r="169" spans="1:10" ht="12.75">
      <c r="A169" s="36"/>
      <c r="B169" s="36"/>
      <c r="C169" s="36"/>
      <c r="D169" s="81"/>
      <c r="E169" s="36"/>
      <c r="F169" s="36"/>
      <c r="G169" s="81"/>
      <c r="H169" s="38"/>
      <c r="I169" s="82"/>
      <c r="J169" s="81"/>
    </row>
    <row r="170" spans="1:11" ht="12.75" customHeight="1">
      <c r="A170" s="29" t="s">
        <v>467</v>
      </c>
      <c r="B170" s="29">
        <f aca="true" t="shared" si="7" ref="B170:C174">B156</f>
        <v>2406</v>
      </c>
      <c r="C170" s="29">
        <f t="shared" si="7"/>
        <v>199</v>
      </c>
      <c r="D170" s="72">
        <f>B170*C170</f>
        <v>478794</v>
      </c>
      <c r="E170" s="29">
        <f>E156</f>
        <v>2378</v>
      </c>
      <c r="F170" s="29">
        <f>C156</f>
        <v>199</v>
      </c>
      <c r="G170" s="72">
        <f>E170*F170</f>
        <v>473222</v>
      </c>
      <c r="H170" s="73">
        <f>((E170/B170)-1)*100</f>
        <v>-1.163757273482957</v>
      </c>
      <c r="I170" s="74">
        <f>(F170/C170-1)*100</f>
        <v>0</v>
      </c>
      <c r="J170" s="75">
        <f>G170-D170</f>
        <v>-5572</v>
      </c>
      <c r="K170" s="1213" t="s">
        <v>504</v>
      </c>
    </row>
    <row r="171" spans="1:11" ht="12.75">
      <c r="A171" s="35" t="s">
        <v>468</v>
      </c>
      <c r="B171" s="29">
        <f t="shared" si="7"/>
        <v>2930</v>
      </c>
      <c r="C171" s="29">
        <f t="shared" si="7"/>
        <v>204</v>
      </c>
      <c r="D171" s="72">
        <f>B171*C171</f>
        <v>597720</v>
      </c>
      <c r="E171" s="29">
        <f>E157</f>
        <v>2653</v>
      </c>
      <c r="F171" s="29">
        <f>C157</f>
        <v>204</v>
      </c>
      <c r="G171" s="72">
        <f>E171*F171</f>
        <v>541212</v>
      </c>
      <c r="H171" s="73">
        <f>((E171/B171)-1)*100</f>
        <v>-9.45392491467577</v>
      </c>
      <c r="I171" s="74">
        <f>(F171/C171-1)*100</f>
        <v>0</v>
      </c>
      <c r="J171" s="75">
        <f>G171-D171</f>
        <v>-56508</v>
      </c>
      <c r="K171" s="1213"/>
    </row>
    <row r="172" spans="1:11" ht="12.75">
      <c r="A172" s="35" t="s">
        <v>469</v>
      </c>
      <c r="B172" s="29">
        <f t="shared" si="7"/>
        <v>3556</v>
      </c>
      <c r="C172" s="29">
        <f t="shared" si="7"/>
        <v>212</v>
      </c>
      <c r="D172" s="72">
        <f>B172*C172</f>
        <v>753872</v>
      </c>
      <c r="E172" s="29">
        <f>E158</f>
        <v>3346</v>
      </c>
      <c r="F172" s="29">
        <v>212</v>
      </c>
      <c r="G172" s="72">
        <f>E172*F172</f>
        <v>709352</v>
      </c>
      <c r="H172" s="73">
        <f>((E172/B172)-1)*100</f>
        <v>-5.905511811023622</v>
      </c>
      <c r="I172" s="74">
        <f>(F172/C172-1)*100</f>
        <v>0</v>
      </c>
      <c r="J172" s="75">
        <f>G172-D172</f>
        <v>-44520</v>
      </c>
      <c r="K172" s="1213"/>
    </row>
    <row r="173" spans="1:11" ht="12.75">
      <c r="A173" s="35" t="s">
        <v>470</v>
      </c>
      <c r="B173" s="29">
        <f t="shared" si="7"/>
        <v>6219</v>
      </c>
      <c r="C173" s="29">
        <f t="shared" si="7"/>
        <v>262</v>
      </c>
      <c r="D173" s="72">
        <f>B173*C173</f>
        <v>1629378</v>
      </c>
      <c r="E173" s="29">
        <f>E159</f>
        <v>6265</v>
      </c>
      <c r="F173" s="29">
        <f>C159</f>
        <v>262</v>
      </c>
      <c r="G173" s="72">
        <f>E173*F173</f>
        <v>1641430</v>
      </c>
      <c r="H173" s="73">
        <f>((E173/B173)-1)*100</f>
        <v>0.7396687570348837</v>
      </c>
      <c r="I173" s="74">
        <f>(F173/C173-1)*100</f>
        <v>0</v>
      </c>
      <c r="J173" s="75">
        <f>G173-D173</f>
        <v>12052</v>
      </c>
      <c r="K173" s="1213"/>
    </row>
    <row r="174" spans="1:11" ht="12.75">
      <c r="A174" s="35" t="s">
        <v>471</v>
      </c>
      <c r="B174" s="29">
        <f t="shared" si="7"/>
        <v>1650</v>
      </c>
      <c r="C174" s="29">
        <f t="shared" si="7"/>
        <v>210</v>
      </c>
      <c r="D174" s="72">
        <f>B174*C174</f>
        <v>346500</v>
      </c>
      <c r="E174" s="29">
        <f>E160</f>
        <v>1612</v>
      </c>
      <c r="F174" s="29">
        <f>C160</f>
        <v>210</v>
      </c>
      <c r="G174" s="72">
        <f>E174*F174</f>
        <v>338520</v>
      </c>
      <c r="H174" s="73">
        <f>((E174/B174)-1)*100</f>
        <v>-2.3030303030303068</v>
      </c>
      <c r="I174" s="74">
        <f>(F174/C174-1)*100</f>
        <v>0</v>
      </c>
      <c r="J174" s="75">
        <f>G174-D174</f>
        <v>-7980</v>
      </c>
      <c r="K174" s="1213"/>
    </row>
    <row r="175" spans="1:11" ht="12.75">
      <c r="A175" s="1232">
        <f>SUM(J170:J174)</f>
        <v>-102528</v>
      </c>
      <c r="B175" s="1232"/>
      <c r="C175" s="1232"/>
      <c r="D175" s="1232"/>
      <c r="E175" s="1232"/>
      <c r="F175" s="1232"/>
      <c r="G175" s="1232"/>
      <c r="H175" s="1232"/>
      <c r="I175" s="1232"/>
      <c r="J175" s="1232"/>
      <c r="K175" s="1213"/>
    </row>
    <row r="176" spans="10:11" ht="12.75">
      <c r="J176" s="84">
        <f>A175-A161</f>
        <v>0</v>
      </c>
      <c r="K176" t="s">
        <v>503</v>
      </c>
    </row>
  </sheetData>
  <mergeCells count="100">
    <mergeCell ref="B44:D44"/>
    <mergeCell ref="E44:G44"/>
    <mergeCell ref="H44:H45"/>
    <mergeCell ref="A31:D32"/>
    <mergeCell ref="G7:K7"/>
    <mergeCell ref="B8:B9"/>
    <mergeCell ref="C8:C9"/>
    <mergeCell ref="D8:D9"/>
    <mergeCell ref="E8:E9"/>
    <mergeCell ref="F8:F9"/>
    <mergeCell ref="J8:J9"/>
    <mergeCell ref="I52:J52"/>
    <mergeCell ref="B54:D54"/>
    <mergeCell ref="E54:G54"/>
    <mergeCell ref="I54:J54"/>
    <mergeCell ref="K126:K131"/>
    <mergeCell ref="K133:K138"/>
    <mergeCell ref="A161:J161"/>
    <mergeCell ref="G151:G152"/>
    <mergeCell ref="A131:J131"/>
    <mergeCell ref="A138:J138"/>
    <mergeCell ref="B151:B152"/>
    <mergeCell ref="C151:C152"/>
    <mergeCell ref="D151:D152"/>
    <mergeCell ref="E151:E152"/>
    <mergeCell ref="A168:J168"/>
    <mergeCell ref="A175:J175"/>
    <mergeCell ref="H151:H152"/>
    <mergeCell ref="I151:I152"/>
    <mergeCell ref="A150:A152"/>
    <mergeCell ref="B150:D150"/>
    <mergeCell ref="E150:G150"/>
    <mergeCell ref="H150:I150"/>
    <mergeCell ref="J150:J152"/>
    <mergeCell ref="F151:F152"/>
    <mergeCell ref="A145:J145"/>
    <mergeCell ref="F121:F122"/>
    <mergeCell ref="G121:G122"/>
    <mergeCell ref="I121:I122"/>
    <mergeCell ref="D121:D122"/>
    <mergeCell ref="E121:E122"/>
    <mergeCell ref="H121:H122"/>
    <mergeCell ref="J120:J122"/>
    <mergeCell ref="A102:J102"/>
    <mergeCell ref="A109:J109"/>
    <mergeCell ref="A116:J116"/>
    <mergeCell ref="A120:A122"/>
    <mergeCell ref="B120:D120"/>
    <mergeCell ref="E120:G120"/>
    <mergeCell ref="H120:I120"/>
    <mergeCell ref="B121:B122"/>
    <mergeCell ref="C121:C122"/>
    <mergeCell ref="F93:F94"/>
    <mergeCell ref="G93:G94"/>
    <mergeCell ref="H93:H94"/>
    <mergeCell ref="I93:I94"/>
    <mergeCell ref="A88:J88"/>
    <mergeCell ref="A92:A94"/>
    <mergeCell ref="B92:D92"/>
    <mergeCell ref="E92:G92"/>
    <mergeCell ref="H92:I92"/>
    <mergeCell ref="J92:J94"/>
    <mergeCell ref="B93:B94"/>
    <mergeCell ref="C93:C94"/>
    <mergeCell ref="D93:D94"/>
    <mergeCell ref="E93:E94"/>
    <mergeCell ref="A81:J81"/>
    <mergeCell ref="D66:D67"/>
    <mergeCell ref="E66:E67"/>
    <mergeCell ref="F66:F67"/>
    <mergeCell ref="G66:G67"/>
    <mergeCell ref="A65:A67"/>
    <mergeCell ref="B65:D65"/>
    <mergeCell ref="B66:B67"/>
    <mergeCell ref="C66:C67"/>
    <mergeCell ref="J65:J67"/>
    <mergeCell ref="E65:G65"/>
    <mergeCell ref="H65:I65"/>
    <mergeCell ref="H66:H67"/>
    <mergeCell ref="I66:I67"/>
    <mergeCell ref="K163:K168"/>
    <mergeCell ref="K170:K175"/>
    <mergeCell ref="K69:K74"/>
    <mergeCell ref="K76:K81"/>
    <mergeCell ref="K83:K88"/>
    <mergeCell ref="K140:K145"/>
    <mergeCell ref="K156:K161"/>
    <mergeCell ref="K97:K102"/>
    <mergeCell ref="K104:K109"/>
    <mergeCell ref="K111:K116"/>
    <mergeCell ref="A4:K4"/>
    <mergeCell ref="A17:G17"/>
    <mergeCell ref="K8:K9"/>
    <mergeCell ref="B45:D45"/>
    <mergeCell ref="E45:G45"/>
    <mergeCell ref="G8:G9"/>
    <mergeCell ref="H8:H9"/>
    <mergeCell ref="I8:I9"/>
    <mergeCell ref="A7:A9"/>
    <mergeCell ref="B7:F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  <rowBreaks count="2" manualBreakCount="2">
    <brk id="42" max="10" man="1"/>
    <brk id="61" max="10" man="1"/>
  </rowBreaks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2:K159"/>
  <sheetViews>
    <sheetView workbookViewId="0" topLeftCell="A41">
      <selection activeCell="A61" sqref="A61:K68"/>
    </sheetView>
  </sheetViews>
  <sheetFormatPr defaultColWidth="9.140625" defaultRowHeight="12.75"/>
  <cols>
    <col min="1" max="1" width="29.140625" style="876" customWidth="1"/>
    <col min="2" max="3" width="12.57421875" style="876" hidden="1" customWidth="1"/>
    <col min="4" max="9" width="12.57421875" style="876" customWidth="1"/>
    <col min="10" max="10" width="12.421875" style="876" customWidth="1"/>
    <col min="11" max="11" width="11.28125" style="876" customWidth="1"/>
    <col min="12" max="16384" width="9.140625" style="876" customWidth="1"/>
  </cols>
  <sheetData>
    <row r="2" spans="1:11" ht="15.75">
      <c r="A2" s="1198" t="s">
        <v>179</v>
      </c>
      <c r="B2" s="1198"/>
      <c r="C2" s="1198"/>
      <c r="D2" s="1198"/>
      <c r="E2" s="1198"/>
      <c r="F2" s="1198"/>
      <c r="G2" s="1198"/>
      <c r="H2" s="1198"/>
      <c r="I2" s="1198"/>
      <c r="J2" s="1198"/>
      <c r="K2" s="1198"/>
    </row>
    <row r="4" spans="10:11" ht="12.75">
      <c r="J4" s="888"/>
      <c r="K4" s="878" t="s">
        <v>131</v>
      </c>
    </row>
    <row r="5" spans="1:11" ht="18.75" customHeight="1">
      <c r="A5" s="1241" t="s">
        <v>441</v>
      </c>
      <c r="B5" s="1156" t="s">
        <v>410</v>
      </c>
      <c r="C5" s="1156"/>
      <c r="D5" s="1156"/>
      <c r="E5" s="1156"/>
      <c r="F5" s="1156"/>
      <c r="G5" s="1156"/>
      <c r="H5" s="1156"/>
      <c r="I5" s="1156"/>
      <c r="J5" s="1021" t="s">
        <v>407</v>
      </c>
      <c r="K5" s="1022" t="s">
        <v>407</v>
      </c>
    </row>
    <row r="6" spans="1:11" ht="18.75" customHeight="1">
      <c r="A6" s="1242"/>
      <c r="B6" s="839">
        <v>1998</v>
      </c>
      <c r="C6" s="839">
        <v>1999</v>
      </c>
      <c r="D6" s="839" t="s">
        <v>4</v>
      </c>
      <c r="E6" s="839" t="s">
        <v>5</v>
      </c>
      <c r="F6" s="839" t="s">
        <v>6</v>
      </c>
      <c r="G6" s="839" t="s">
        <v>487</v>
      </c>
      <c r="H6" s="839" t="s">
        <v>496</v>
      </c>
      <c r="I6" s="839" t="s">
        <v>498</v>
      </c>
      <c r="J6" s="839" t="s">
        <v>663</v>
      </c>
      <c r="K6" s="1023" t="s">
        <v>7</v>
      </c>
    </row>
    <row r="7" spans="1:11" ht="18.75" customHeight="1">
      <c r="A7" s="1047" t="s">
        <v>411</v>
      </c>
      <c r="B7" s="881">
        <v>4208240</v>
      </c>
      <c r="C7" s="881">
        <v>4777712</v>
      </c>
      <c r="D7" s="881">
        <v>4983642</v>
      </c>
      <c r="E7" s="881">
        <v>5827464</v>
      </c>
      <c r="F7" s="881">
        <v>7209983</v>
      </c>
      <c r="G7" s="881">
        <v>9062760</v>
      </c>
      <c r="H7" s="881">
        <v>9221611</v>
      </c>
      <c r="I7" s="881">
        <v>9993605</v>
      </c>
      <c r="J7" s="881">
        <v>10181257</v>
      </c>
      <c r="K7" s="882">
        <v>10037826</v>
      </c>
    </row>
    <row r="8" spans="1:11" ht="18.75" customHeight="1">
      <c r="A8" s="960" t="s">
        <v>412</v>
      </c>
      <c r="B8" s="884">
        <v>2425962</v>
      </c>
      <c r="C8" s="884">
        <v>1799580</v>
      </c>
      <c r="D8" s="884">
        <v>2203550</v>
      </c>
      <c r="E8" s="884">
        <v>5126577</v>
      </c>
      <c r="F8" s="884">
        <v>3028663</v>
      </c>
      <c r="G8" s="884">
        <v>1773290</v>
      </c>
      <c r="H8" s="884">
        <v>2616472</v>
      </c>
      <c r="I8" s="884">
        <v>4269455</v>
      </c>
      <c r="J8" s="884">
        <v>6770434</v>
      </c>
      <c r="K8" s="885">
        <v>3711688</v>
      </c>
    </row>
    <row r="9" spans="1:11" ht="18.75" customHeight="1">
      <c r="A9" s="1048" t="s">
        <v>413</v>
      </c>
      <c r="B9" s="930">
        <v>4913636</v>
      </c>
      <c r="C9" s="930">
        <v>5505898</v>
      </c>
      <c r="D9" s="930">
        <v>7060590</v>
      </c>
      <c r="E9" s="930">
        <v>9610834</v>
      </c>
      <c r="F9" s="930">
        <v>9359603</v>
      </c>
      <c r="G9" s="930">
        <v>11662567</v>
      </c>
      <c r="H9" s="930">
        <v>8149588</v>
      </c>
      <c r="I9" s="930">
        <v>10909516</v>
      </c>
      <c r="J9" s="930">
        <v>7081541</v>
      </c>
      <c r="K9" s="1014">
        <f>K10-K8-K7</f>
        <v>7909400</v>
      </c>
    </row>
    <row r="10" spans="1:11" ht="18.75" customHeight="1">
      <c r="A10" s="977" t="s">
        <v>414</v>
      </c>
      <c r="B10" s="1016">
        <v>11547838</v>
      </c>
      <c r="C10" s="1016">
        <v>12083190</v>
      </c>
      <c r="D10" s="1016">
        <v>14247782</v>
      </c>
      <c r="E10" s="1016">
        <v>20564875</v>
      </c>
      <c r="F10" s="1016">
        <v>19598249</v>
      </c>
      <c r="G10" s="1016">
        <v>22498617</v>
      </c>
      <c r="H10" s="1016">
        <v>19987671</v>
      </c>
      <c r="I10" s="1016">
        <v>25172576</v>
      </c>
      <c r="J10" s="1016">
        <v>24033232</v>
      </c>
      <c r="K10" s="1017">
        <v>21658914</v>
      </c>
    </row>
    <row r="11" spans="1:11" ht="12.75">
      <c r="A11" s="888"/>
      <c r="B11" s="888"/>
      <c r="C11" s="888"/>
      <c r="D11" s="888"/>
      <c r="E11" s="888"/>
      <c r="F11" s="888"/>
      <c r="G11" s="888"/>
      <c r="H11" s="888"/>
      <c r="I11" s="888"/>
      <c r="J11" s="888"/>
      <c r="K11" s="867"/>
    </row>
    <row r="12" spans="1:11" ht="12.75">
      <c r="A12" s="888"/>
      <c r="B12" s="888"/>
      <c r="C12" s="888"/>
      <c r="D12" s="888"/>
      <c r="E12" s="888"/>
      <c r="F12" s="888"/>
      <c r="G12" s="888"/>
      <c r="H12" s="888"/>
      <c r="I12" s="888"/>
      <c r="J12" s="888"/>
      <c r="K12" s="867"/>
    </row>
    <row r="13" spans="1:11" ht="15.75">
      <c r="A13" s="1205" t="s">
        <v>180</v>
      </c>
      <c r="B13" s="1205"/>
      <c r="C13" s="1205"/>
      <c r="D13" s="1205"/>
      <c r="E13" s="1205"/>
      <c r="F13" s="1205"/>
      <c r="G13" s="1205"/>
      <c r="H13" s="1205"/>
      <c r="I13" s="1205"/>
      <c r="J13" s="1205"/>
      <c r="K13" s="1205"/>
    </row>
    <row r="14" spans="1:10" ht="12.75">
      <c r="A14" s="888"/>
      <c r="B14" s="888"/>
      <c r="C14" s="888"/>
      <c r="D14" s="888"/>
      <c r="E14" s="888"/>
      <c r="F14" s="888"/>
      <c r="G14" s="888"/>
      <c r="H14" s="888"/>
      <c r="I14" s="888"/>
      <c r="J14" s="878"/>
    </row>
    <row r="15" spans="1:11" ht="18.75" customHeight="1">
      <c r="A15" s="1241" t="s">
        <v>441</v>
      </c>
      <c r="B15" s="1156" t="s">
        <v>410</v>
      </c>
      <c r="C15" s="1156"/>
      <c r="D15" s="1156"/>
      <c r="E15" s="1156"/>
      <c r="F15" s="1156"/>
      <c r="G15" s="1156"/>
      <c r="H15" s="1156"/>
      <c r="I15" s="1156"/>
      <c r="J15" s="1021" t="s">
        <v>407</v>
      </c>
      <c r="K15" s="1022" t="s">
        <v>407</v>
      </c>
    </row>
    <row r="16" spans="1:11" ht="18.75" customHeight="1">
      <c r="A16" s="1242"/>
      <c r="B16" s="839">
        <v>1998</v>
      </c>
      <c r="C16" s="839">
        <v>1999</v>
      </c>
      <c r="D16" s="839" t="s">
        <v>4</v>
      </c>
      <c r="E16" s="839" t="s">
        <v>5</v>
      </c>
      <c r="F16" s="839" t="s">
        <v>6</v>
      </c>
      <c r="G16" s="839" t="s">
        <v>487</v>
      </c>
      <c r="H16" s="839" t="s">
        <v>496</v>
      </c>
      <c r="I16" s="839" t="s">
        <v>498</v>
      </c>
      <c r="J16" s="839" t="s">
        <v>663</v>
      </c>
      <c r="K16" s="1023" t="s">
        <v>7</v>
      </c>
    </row>
    <row r="17" spans="1:11" ht="18.75" customHeight="1">
      <c r="A17" s="1047" t="s">
        <v>419</v>
      </c>
      <c r="B17" s="893">
        <f aca="true" t="shared" si="0" ref="B17:J17">B7/B$10</f>
        <v>0.36441799755071036</v>
      </c>
      <c r="C17" s="893">
        <f t="shared" si="0"/>
        <v>0.39540154545281503</v>
      </c>
      <c r="D17" s="893">
        <f t="shared" si="0"/>
        <v>0.34978370668501246</v>
      </c>
      <c r="E17" s="893">
        <f t="shared" si="0"/>
        <v>0.2833697749196141</v>
      </c>
      <c r="F17" s="893">
        <f t="shared" si="0"/>
        <v>0.36788914152483726</v>
      </c>
      <c r="G17" s="893">
        <f t="shared" si="0"/>
        <v>0.40281409297291476</v>
      </c>
      <c r="H17" s="893">
        <f t="shared" si="0"/>
        <v>0.46136495842862335</v>
      </c>
      <c r="I17" s="893">
        <f t="shared" si="0"/>
        <v>0.3970036678010228</v>
      </c>
      <c r="J17" s="893">
        <f t="shared" si="0"/>
        <v>0.4236324519315588</v>
      </c>
      <c r="K17" s="953">
        <f>K7/$K$10</f>
        <v>0.4634501065011847</v>
      </c>
    </row>
    <row r="18" spans="1:11" ht="18.75" customHeight="1">
      <c r="A18" s="960" t="s">
        <v>420</v>
      </c>
      <c r="B18" s="897">
        <f aca="true" t="shared" si="1" ref="B18:J18">B8/B$10</f>
        <v>0.21007932393925166</v>
      </c>
      <c r="C18" s="897">
        <f t="shared" si="1"/>
        <v>0.1489325252685756</v>
      </c>
      <c r="D18" s="897">
        <f t="shared" si="1"/>
        <v>0.1546591602819302</v>
      </c>
      <c r="E18" s="897">
        <f t="shared" si="1"/>
        <v>0.24928802144433165</v>
      </c>
      <c r="F18" s="897">
        <f t="shared" si="1"/>
        <v>0.15453742831821354</v>
      </c>
      <c r="G18" s="897">
        <f t="shared" si="1"/>
        <v>0.07881773355224457</v>
      </c>
      <c r="H18" s="897">
        <f t="shared" si="1"/>
        <v>0.13090429595324038</v>
      </c>
      <c r="I18" s="897">
        <f t="shared" si="1"/>
        <v>0.1696073933792076</v>
      </c>
      <c r="J18" s="897">
        <f t="shared" si="1"/>
        <v>0.2817113403640426</v>
      </c>
      <c r="K18" s="958">
        <f>K8/$K$10</f>
        <v>0.1713699957440156</v>
      </c>
    </row>
    <row r="19" spans="1:11" ht="18.75" customHeight="1">
      <c r="A19" s="1048" t="s">
        <v>421</v>
      </c>
      <c r="B19" s="901">
        <f aca="true" t="shared" si="2" ref="B19:J19">B9/B$10</f>
        <v>0.425502678510038</v>
      </c>
      <c r="C19" s="901">
        <f t="shared" si="2"/>
        <v>0.4556659292786094</v>
      </c>
      <c r="D19" s="901">
        <f t="shared" si="2"/>
        <v>0.4955571330330574</v>
      </c>
      <c r="E19" s="901">
        <f t="shared" si="2"/>
        <v>0.4673422036360542</v>
      </c>
      <c r="F19" s="901">
        <f t="shared" si="2"/>
        <v>0.47757343015694925</v>
      </c>
      <c r="G19" s="901">
        <f t="shared" si="2"/>
        <v>0.5183681734748407</v>
      </c>
      <c r="H19" s="901">
        <f t="shared" si="2"/>
        <v>0.4077307456181363</v>
      </c>
      <c r="I19" s="901">
        <f t="shared" si="2"/>
        <v>0.4333889388197696</v>
      </c>
      <c r="J19" s="901">
        <f t="shared" si="2"/>
        <v>0.29465620770439865</v>
      </c>
      <c r="K19" s="959">
        <f>K9/$K$10</f>
        <v>0.3651798977547997</v>
      </c>
    </row>
    <row r="20" spans="1:11" ht="18.75" customHeight="1">
      <c r="A20" s="977" t="s">
        <v>422</v>
      </c>
      <c r="B20" s="954">
        <f>SUM(B17:B19)</f>
        <v>1</v>
      </c>
      <c r="C20" s="954">
        <f aca="true" t="shared" si="3" ref="C20:K20">SUM(C17:C19)</f>
        <v>1</v>
      </c>
      <c r="D20" s="954">
        <f t="shared" si="3"/>
        <v>1</v>
      </c>
      <c r="E20" s="954">
        <f t="shared" si="3"/>
        <v>1</v>
      </c>
      <c r="F20" s="954">
        <f t="shared" si="3"/>
        <v>1</v>
      </c>
      <c r="G20" s="954">
        <f t="shared" si="3"/>
        <v>1</v>
      </c>
      <c r="H20" s="954">
        <f t="shared" si="3"/>
        <v>1</v>
      </c>
      <c r="I20" s="954">
        <f t="shared" si="3"/>
        <v>1</v>
      </c>
      <c r="J20" s="954">
        <f t="shared" si="3"/>
        <v>1</v>
      </c>
      <c r="K20" s="955">
        <f t="shared" si="3"/>
        <v>1</v>
      </c>
    </row>
    <row r="21" spans="1:10" ht="18.75" customHeight="1">
      <c r="A21" s="888"/>
      <c r="B21" s="905"/>
      <c r="C21" s="905"/>
      <c r="D21" s="905"/>
      <c r="E21" s="905"/>
      <c r="F21" s="905"/>
      <c r="G21" s="905"/>
      <c r="H21" s="905"/>
      <c r="I21" s="905"/>
      <c r="J21" s="905"/>
    </row>
    <row r="22" spans="1:11" ht="18.75" customHeight="1">
      <c r="A22" s="1243" t="s">
        <v>226</v>
      </c>
      <c r="B22" s="1243"/>
      <c r="C22" s="1243"/>
      <c r="D22" s="1243"/>
      <c r="E22" s="1243"/>
      <c r="F22" s="1243"/>
      <c r="G22" s="1243"/>
      <c r="H22" s="1243"/>
      <c r="I22" s="1243"/>
      <c r="J22" s="1243"/>
      <c r="K22" s="1243"/>
    </row>
    <row r="23" spans="1:11" ht="18.75" customHeight="1">
      <c r="A23" s="869"/>
      <c r="B23" s="869"/>
      <c r="C23" s="869"/>
      <c r="D23" s="869"/>
      <c r="E23" s="869"/>
      <c r="F23" s="869"/>
      <c r="G23" s="869"/>
      <c r="H23" s="869"/>
      <c r="I23" s="869"/>
      <c r="J23" s="869"/>
      <c r="K23" s="878" t="s">
        <v>132</v>
      </c>
    </row>
    <row r="24" spans="1:11" ht="18.75" customHeight="1">
      <c r="A24" s="863" t="s">
        <v>441</v>
      </c>
      <c r="B24" s="973">
        <v>1998</v>
      </c>
      <c r="C24" s="973">
        <v>1999</v>
      </c>
      <c r="D24" s="973" t="s">
        <v>4</v>
      </c>
      <c r="E24" s="973" t="s">
        <v>5</v>
      </c>
      <c r="F24" s="973" t="s">
        <v>6</v>
      </c>
      <c r="G24" s="973" t="s">
        <v>487</v>
      </c>
      <c r="H24" s="973" t="s">
        <v>496</v>
      </c>
      <c r="I24" s="973" t="s">
        <v>498</v>
      </c>
      <c r="J24" s="973" t="s">
        <v>663</v>
      </c>
      <c r="K24" s="974" t="s">
        <v>7</v>
      </c>
    </row>
    <row r="25" spans="1:11" ht="18.75" customHeight="1">
      <c r="A25" s="964" t="s">
        <v>187</v>
      </c>
      <c r="B25" s="881"/>
      <c r="C25" s="881"/>
      <c r="D25" s="881">
        <v>4984</v>
      </c>
      <c r="E25" s="881">
        <v>5827</v>
      </c>
      <c r="F25" s="881">
        <v>7210</v>
      </c>
      <c r="G25" s="881">
        <v>9063</v>
      </c>
      <c r="H25" s="881">
        <v>9222</v>
      </c>
      <c r="I25" s="881">
        <v>9994</v>
      </c>
      <c r="J25" s="880">
        <v>10181</v>
      </c>
      <c r="K25" s="956">
        <v>10038</v>
      </c>
    </row>
    <row r="26" spans="1:11" ht="18.75" customHeight="1">
      <c r="A26" s="1049" t="s">
        <v>135</v>
      </c>
      <c r="B26" s="1050"/>
      <c r="C26" s="1050"/>
      <c r="D26" s="1050">
        <v>6161</v>
      </c>
      <c r="E26" s="1050">
        <v>6389</v>
      </c>
      <c r="F26" s="1050">
        <v>7769</v>
      </c>
      <c r="G26" s="1050">
        <v>9711</v>
      </c>
      <c r="H26" s="1050">
        <v>10442</v>
      </c>
      <c r="I26" s="1050">
        <v>11253</v>
      </c>
      <c r="J26" s="1050">
        <v>9719</v>
      </c>
      <c r="K26" s="1051">
        <v>9374</v>
      </c>
    </row>
    <row r="27" spans="1:11" ht="18.75" customHeight="1">
      <c r="A27" s="1015" t="s">
        <v>163</v>
      </c>
      <c r="B27" s="1052"/>
      <c r="C27" s="1052"/>
      <c r="D27" s="954">
        <f>SUM(D25/D26)</f>
        <v>0.8089595844830385</v>
      </c>
      <c r="E27" s="954">
        <f aca="true" t="shared" si="4" ref="E27:K27">SUM(E25/E26)</f>
        <v>0.912036312411958</v>
      </c>
      <c r="F27" s="954">
        <f t="shared" si="4"/>
        <v>0.9280473677435963</v>
      </c>
      <c r="G27" s="954">
        <f t="shared" si="4"/>
        <v>0.933271547729379</v>
      </c>
      <c r="H27" s="954">
        <f t="shared" si="4"/>
        <v>0.8831641447998467</v>
      </c>
      <c r="I27" s="954">
        <f t="shared" si="4"/>
        <v>0.88811872389585</v>
      </c>
      <c r="J27" s="954">
        <f t="shared" si="4"/>
        <v>1.0475357547072743</v>
      </c>
      <c r="K27" s="955">
        <f t="shared" si="4"/>
        <v>1.070834222317047</v>
      </c>
    </row>
    <row r="28" spans="1:11" ht="12.75">
      <c r="A28" s="888"/>
      <c r="B28" s="888"/>
      <c r="C28" s="888"/>
      <c r="D28" s="888"/>
      <c r="E28" s="888"/>
      <c r="F28" s="888"/>
      <c r="G28" s="888"/>
      <c r="H28" s="888"/>
      <c r="I28" s="888"/>
      <c r="J28" s="888"/>
      <c r="K28" s="867"/>
    </row>
    <row r="29" spans="1:11" ht="12.75">
      <c r="A29" s="888"/>
      <c r="B29" s="888"/>
      <c r="C29" s="888"/>
      <c r="D29" s="888"/>
      <c r="E29" s="888"/>
      <c r="F29" s="888"/>
      <c r="G29" s="888"/>
      <c r="H29" s="888"/>
      <c r="I29" s="888"/>
      <c r="J29" s="888"/>
      <c r="K29" s="867"/>
    </row>
    <row r="30" spans="1:11" ht="12.75">
      <c r="A30" s="1248" t="s">
        <v>181</v>
      </c>
      <c r="B30" s="1248"/>
      <c r="C30" s="1248"/>
      <c r="D30" s="1248"/>
      <c r="E30" s="1248"/>
      <c r="F30" s="1248"/>
      <c r="G30" s="1248"/>
      <c r="H30" s="1248"/>
      <c r="I30" s="1248"/>
      <c r="J30" s="1248"/>
      <c r="K30" s="1248"/>
    </row>
    <row r="31" spans="1:11" ht="12.75">
      <c r="A31" s="888"/>
      <c r="B31" s="888"/>
      <c r="C31" s="888"/>
      <c r="D31" s="888"/>
      <c r="E31" s="888"/>
      <c r="F31" s="888"/>
      <c r="G31" s="888"/>
      <c r="H31" s="888"/>
      <c r="I31" s="888"/>
      <c r="J31" s="888"/>
      <c r="K31" s="878" t="s">
        <v>131</v>
      </c>
    </row>
    <row r="32" spans="1:11" ht="13.5" customHeight="1">
      <c r="A32" s="1241" t="s">
        <v>441</v>
      </c>
      <c r="B32" s="1156" t="s">
        <v>410</v>
      </c>
      <c r="C32" s="1156"/>
      <c r="D32" s="1156"/>
      <c r="E32" s="1156"/>
      <c r="F32" s="1156"/>
      <c r="G32" s="1156"/>
      <c r="H32" s="1156"/>
      <c r="I32" s="1156"/>
      <c r="J32" s="1021" t="s">
        <v>407</v>
      </c>
      <c r="K32" s="1022" t="s">
        <v>407</v>
      </c>
    </row>
    <row r="33" spans="1:11" ht="13.5" customHeight="1">
      <c r="A33" s="1242"/>
      <c r="B33" s="839">
        <v>1998</v>
      </c>
      <c r="C33" s="839">
        <v>1999</v>
      </c>
      <c r="D33" s="839" t="s">
        <v>4</v>
      </c>
      <c r="E33" s="839" t="s">
        <v>5</v>
      </c>
      <c r="F33" s="839" t="s">
        <v>6</v>
      </c>
      <c r="G33" s="839" t="s">
        <v>487</v>
      </c>
      <c r="H33" s="839" t="s">
        <v>496</v>
      </c>
      <c r="I33" s="839" t="s">
        <v>498</v>
      </c>
      <c r="J33" s="839" t="s">
        <v>663</v>
      </c>
      <c r="K33" s="1023" t="s">
        <v>7</v>
      </c>
    </row>
    <row r="34" spans="1:11" ht="13.5" customHeight="1">
      <c r="A34" s="975" t="s">
        <v>423</v>
      </c>
      <c r="B34" s="919"/>
      <c r="C34" s="919"/>
      <c r="D34" s="919"/>
      <c r="E34" s="919"/>
      <c r="F34" s="919"/>
      <c r="G34" s="919"/>
      <c r="H34" s="919"/>
      <c r="I34" s="919"/>
      <c r="J34" s="976"/>
      <c r="K34" s="920"/>
    </row>
    <row r="35" spans="1:11" ht="13.5" customHeight="1">
      <c r="A35" s="960" t="s">
        <v>415</v>
      </c>
      <c r="B35" s="884"/>
      <c r="C35" s="884"/>
      <c r="D35" s="884">
        <v>4366171</v>
      </c>
      <c r="E35" s="884">
        <v>5006508</v>
      </c>
      <c r="F35" s="884">
        <v>6262165</v>
      </c>
      <c r="G35" s="884">
        <v>7940378</v>
      </c>
      <c r="H35" s="884">
        <v>8100557</v>
      </c>
      <c r="I35" s="884">
        <v>8702221</v>
      </c>
      <c r="J35" s="884">
        <v>8891562</v>
      </c>
      <c r="K35" s="885">
        <v>9201061</v>
      </c>
    </row>
    <row r="36" spans="1:11" ht="13.5" customHeight="1">
      <c r="A36" s="960" t="s">
        <v>416</v>
      </c>
      <c r="B36" s="884"/>
      <c r="C36" s="884"/>
      <c r="D36" s="884">
        <v>396936</v>
      </c>
      <c r="E36" s="884">
        <v>333327</v>
      </c>
      <c r="F36" s="884">
        <v>423093</v>
      </c>
      <c r="G36" s="884">
        <v>338858</v>
      </c>
      <c r="H36" s="884">
        <v>336738</v>
      </c>
      <c r="I36" s="884">
        <v>277090</v>
      </c>
      <c r="J36" s="884">
        <v>190939</v>
      </c>
      <c r="K36" s="885">
        <v>62150</v>
      </c>
    </row>
    <row r="37" spans="1:11" ht="13.5" customHeight="1">
      <c r="A37" s="1048" t="s">
        <v>417</v>
      </c>
      <c r="B37" s="930"/>
      <c r="C37" s="930"/>
      <c r="D37" s="930">
        <v>2371052</v>
      </c>
      <c r="E37" s="930">
        <v>2858261</v>
      </c>
      <c r="F37" s="930">
        <v>2981394</v>
      </c>
      <c r="G37" s="930">
        <v>3198648</v>
      </c>
      <c r="H37" s="930">
        <v>3446249</v>
      </c>
      <c r="I37" s="930">
        <v>3564160</v>
      </c>
      <c r="J37" s="930">
        <v>3275668</v>
      </c>
      <c r="K37" s="1014">
        <v>3235828</v>
      </c>
    </row>
    <row r="38" spans="1:11" ht="13.5" customHeight="1">
      <c r="A38" s="977" t="s">
        <v>418</v>
      </c>
      <c r="B38" s="978"/>
      <c r="C38" s="978"/>
      <c r="D38" s="1016">
        <v>7134159</v>
      </c>
      <c r="E38" s="1016">
        <v>8198096</v>
      </c>
      <c r="F38" s="1016">
        <v>9666652</v>
      </c>
      <c r="G38" s="1016">
        <v>11477884</v>
      </c>
      <c r="H38" s="1016">
        <v>11883544</v>
      </c>
      <c r="I38" s="1016">
        <v>12543471</v>
      </c>
      <c r="J38" s="1016">
        <v>12358169</v>
      </c>
      <c r="K38" s="1017">
        <f>SUM(K35:K37)</f>
        <v>12499039</v>
      </c>
    </row>
    <row r="39" ht="15.75" customHeight="1"/>
    <row r="40" spans="1:11" ht="15.75" customHeight="1">
      <c r="A40" s="1244" t="s">
        <v>182</v>
      </c>
      <c r="B40" s="1244"/>
      <c r="C40" s="1244"/>
      <c r="D40" s="1244"/>
      <c r="E40" s="1244"/>
      <c r="F40" s="1244"/>
      <c r="G40" s="1244"/>
      <c r="H40" s="1244"/>
      <c r="I40" s="1244"/>
      <c r="J40" s="1244"/>
      <c r="K40" s="1244"/>
    </row>
    <row r="41" ht="15.75" customHeight="1"/>
    <row r="42" spans="1:11" ht="12.75" customHeight="1">
      <c r="A42" s="1241" t="s">
        <v>441</v>
      </c>
      <c r="B42" s="1156" t="s">
        <v>410</v>
      </c>
      <c r="C42" s="1156"/>
      <c r="D42" s="1156"/>
      <c r="E42" s="1156"/>
      <c r="F42" s="1156"/>
      <c r="G42" s="1156"/>
      <c r="H42" s="1156"/>
      <c r="I42" s="1156"/>
      <c r="J42" s="1021" t="s">
        <v>407</v>
      </c>
      <c r="K42" s="1022" t="s">
        <v>407</v>
      </c>
    </row>
    <row r="43" spans="1:11" ht="12.75" customHeight="1">
      <c r="A43" s="1242" t="s">
        <v>441</v>
      </c>
      <c r="B43" s="839">
        <v>1998</v>
      </c>
      <c r="C43" s="839">
        <v>1999</v>
      </c>
      <c r="D43" s="839" t="s">
        <v>4</v>
      </c>
      <c r="E43" s="839" t="s">
        <v>5</v>
      </c>
      <c r="F43" s="839" t="s">
        <v>6</v>
      </c>
      <c r="G43" s="839" t="s">
        <v>487</v>
      </c>
      <c r="H43" s="839" t="s">
        <v>496</v>
      </c>
      <c r="I43" s="839" t="s">
        <v>498</v>
      </c>
      <c r="J43" s="839" t="s">
        <v>663</v>
      </c>
      <c r="K43" s="1023" t="s">
        <v>7</v>
      </c>
    </row>
    <row r="44" spans="1:11" ht="12.75" customHeight="1">
      <c r="A44" s="975" t="s">
        <v>423</v>
      </c>
      <c r="B44" s="919"/>
      <c r="C44" s="919"/>
      <c r="D44" s="919"/>
      <c r="E44" s="919"/>
      <c r="F44" s="919"/>
      <c r="G44" s="919"/>
      <c r="H44" s="919"/>
      <c r="I44" s="919"/>
      <c r="J44" s="976"/>
      <c r="K44" s="920"/>
    </row>
    <row r="45" spans="1:11" ht="12.75" customHeight="1">
      <c r="A45" s="960" t="s">
        <v>424</v>
      </c>
      <c r="B45" s="884"/>
      <c r="C45" s="884"/>
      <c r="D45" s="897">
        <f>D35/D$38</f>
        <v>0.6120092080930633</v>
      </c>
      <c r="E45" s="897">
        <f aca="true" t="shared" si="5" ref="E45:J45">E35/E$38</f>
        <v>0.6106915556978109</v>
      </c>
      <c r="F45" s="897">
        <f t="shared" si="5"/>
        <v>0.6478111552996839</v>
      </c>
      <c r="G45" s="897">
        <f t="shared" si="5"/>
        <v>0.6917980700972409</v>
      </c>
      <c r="H45" s="897">
        <f t="shared" si="5"/>
        <v>0.6816617164037934</v>
      </c>
      <c r="I45" s="897">
        <f t="shared" si="5"/>
        <v>0.6937649873786929</v>
      </c>
      <c r="J45" s="897">
        <f t="shared" si="5"/>
        <v>0.7194886232742084</v>
      </c>
      <c r="K45" s="958">
        <f>K35/K$38</f>
        <v>0.7361414745565639</v>
      </c>
    </row>
    <row r="46" spans="1:11" ht="12.75" customHeight="1">
      <c r="A46" s="960" t="s">
        <v>416</v>
      </c>
      <c r="B46" s="884"/>
      <c r="C46" s="884"/>
      <c r="D46" s="897">
        <f aca="true" t="shared" si="6" ref="D46:J47">D36/D$38</f>
        <v>0.055638793584499587</v>
      </c>
      <c r="E46" s="897">
        <f t="shared" si="6"/>
        <v>0.04065907498521608</v>
      </c>
      <c r="F46" s="897">
        <f t="shared" si="6"/>
        <v>0.04376830778639802</v>
      </c>
      <c r="G46" s="897">
        <f t="shared" si="6"/>
        <v>0.02952268902525936</v>
      </c>
      <c r="H46" s="897">
        <f t="shared" si="6"/>
        <v>0.028336496250613453</v>
      </c>
      <c r="I46" s="897">
        <f t="shared" si="6"/>
        <v>0.022090376738623622</v>
      </c>
      <c r="J46" s="897">
        <f t="shared" si="6"/>
        <v>0.01545042797197546</v>
      </c>
      <c r="K46" s="958">
        <f>K36/K$38</f>
        <v>0.004972382276749437</v>
      </c>
    </row>
    <row r="47" spans="1:11" ht="12.75" customHeight="1">
      <c r="A47" s="1048" t="s">
        <v>417</v>
      </c>
      <c r="B47" s="930"/>
      <c r="C47" s="930"/>
      <c r="D47" s="901">
        <f t="shared" si="6"/>
        <v>0.33235199832243717</v>
      </c>
      <c r="E47" s="901">
        <f t="shared" si="6"/>
        <v>0.3486493693169731</v>
      </c>
      <c r="F47" s="901">
        <f t="shared" si="6"/>
        <v>0.3084205369139181</v>
      </c>
      <c r="G47" s="901">
        <f t="shared" si="6"/>
        <v>0.27867924087749973</v>
      </c>
      <c r="H47" s="901">
        <f t="shared" si="6"/>
        <v>0.2900017873455932</v>
      </c>
      <c r="I47" s="901">
        <f t="shared" si="6"/>
        <v>0.2841446358826835</v>
      </c>
      <c r="J47" s="901">
        <f t="shared" si="6"/>
        <v>0.2650609487538162</v>
      </c>
      <c r="K47" s="959">
        <f>K37/K$38</f>
        <v>0.2588861431666867</v>
      </c>
    </row>
    <row r="48" spans="1:11" ht="12.75" customHeight="1">
      <c r="A48" s="977" t="s">
        <v>418</v>
      </c>
      <c r="B48" s="1016"/>
      <c r="C48" s="1016"/>
      <c r="D48" s="954">
        <f>SUM(D45:D47)</f>
        <v>1</v>
      </c>
      <c r="E48" s="954">
        <f aca="true" t="shared" si="7" ref="E48:K48">SUM(E45:E47)</f>
        <v>1</v>
      </c>
      <c r="F48" s="954">
        <f t="shared" si="7"/>
        <v>1</v>
      </c>
      <c r="G48" s="954">
        <f t="shared" si="7"/>
        <v>1</v>
      </c>
      <c r="H48" s="954">
        <f t="shared" si="7"/>
        <v>1</v>
      </c>
      <c r="I48" s="954">
        <f t="shared" si="7"/>
        <v>1</v>
      </c>
      <c r="J48" s="954">
        <f t="shared" si="7"/>
        <v>1</v>
      </c>
      <c r="K48" s="955">
        <f t="shared" si="7"/>
        <v>1</v>
      </c>
    </row>
    <row r="49" spans="1:10" ht="12.75">
      <c r="A49" s="888"/>
      <c r="B49" s="936"/>
      <c r="C49" s="936"/>
      <c r="D49" s="936"/>
      <c r="E49" s="936"/>
      <c r="F49" s="936"/>
      <c r="G49" s="936"/>
      <c r="H49" s="936"/>
      <c r="I49" s="936"/>
      <c r="J49" s="936"/>
    </row>
    <row r="50" spans="1:11" ht="12.75">
      <c r="A50" s="1247" t="s">
        <v>183</v>
      </c>
      <c r="B50" s="1247"/>
      <c r="C50" s="1247"/>
      <c r="D50" s="1247"/>
      <c r="E50" s="1247"/>
      <c r="F50" s="1247"/>
      <c r="G50" s="1247"/>
      <c r="H50" s="1247"/>
      <c r="I50" s="1247"/>
      <c r="J50" s="1247"/>
      <c r="K50" s="1247"/>
    </row>
    <row r="51" spans="1:10" ht="12.75">
      <c r="A51" s="888"/>
      <c r="B51" s="936"/>
      <c r="C51" s="936"/>
      <c r="D51" s="936"/>
      <c r="E51" s="936"/>
      <c r="F51" s="936"/>
      <c r="G51" s="936"/>
      <c r="H51" s="936"/>
      <c r="I51" s="936"/>
      <c r="J51" s="936"/>
    </row>
    <row r="52" spans="1:11" ht="12.75">
      <c r="A52" s="1241" t="s">
        <v>441</v>
      </c>
      <c r="B52" s="1156" t="s">
        <v>410</v>
      </c>
      <c r="C52" s="1156"/>
      <c r="D52" s="1156"/>
      <c r="E52" s="1156"/>
      <c r="F52" s="1156"/>
      <c r="G52" s="1156"/>
      <c r="H52" s="1156"/>
      <c r="I52" s="1156"/>
      <c r="J52" s="1021" t="s">
        <v>407</v>
      </c>
      <c r="K52" s="1022" t="s">
        <v>407</v>
      </c>
    </row>
    <row r="53" spans="1:11" ht="12.75">
      <c r="A53" s="1242" t="s">
        <v>441</v>
      </c>
      <c r="B53" s="839">
        <v>1998</v>
      </c>
      <c r="C53" s="839">
        <v>1999</v>
      </c>
      <c r="D53" s="839" t="s">
        <v>4</v>
      </c>
      <c r="E53" s="839" t="s">
        <v>5</v>
      </c>
      <c r="F53" s="839" t="s">
        <v>6</v>
      </c>
      <c r="G53" s="839" t="s">
        <v>487</v>
      </c>
      <c r="H53" s="839" t="s">
        <v>496</v>
      </c>
      <c r="I53" s="839" t="s">
        <v>498</v>
      </c>
      <c r="J53" s="839" t="s">
        <v>663</v>
      </c>
      <c r="K53" s="1023" t="s">
        <v>7</v>
      </c>
    </row>
    <row r="54" spans="1:11" ht="12.75">
      <c r="A54" s="1245" t="s">
        <v>429</v>
      </c>
      <c r="B54" s="1246"/>
      <c r="C54" s="1053"/>
      <c r="D54" s="1053"/>
      <c r="E54" s="1053"/>
      <c r="F54" s="1053"/>
      <c r="G54" s="1053"/>
      <c r="H54" s="1053"/>
      <c r="I54" s="1053"/>
      <c r="J54" s="1053"/>
      <c r="K54" s="1054"/>
    </row>
    <row r="55" spans="1:11" ht="12.75">
      <c r="A55" s="960" t="s">
        <v>419</v>
      </c>
      <c r="B55" s="940"/>
      <c r="C55" s="940"/>
      <c r="D55" s="897">
        <f aca="true" t="shared" si="8" ref="D55:K58">D35/D7</f>
        <v>0.8761004502329822</v>
      </c>
      <c r="E55" s="897">
        <f t="shared" si="8"/>
        <v>0.8591229392408087</v>
      </c>
      <c r="F55" s="897">
        <f t="shared" si="8"/>
        <v>0.8685408828287112</v>
      </c>
      <c r="G55" s="897">
        <f t="shared" si="8"/>
        <v>0.8761545048086896</v>
      </c>
      <c r="H55" s="897">
        <f t="shared" si="8"/>
        <v>0.8784318705267442</v>
      </c>
      <c r="I55" s="897">
        <f t="shared" si="8"/>
        <v>0.8707789631469325</v>
      </c>
      <c r="J55" s="897">
        <f t="shared" si="8"/>
        <v>0.8733265450425227</v>
      </c>
      <c r="K55" s="958">
        <f t="shared" si="8"/>
        <v>0.9166388219919334</v>
      </c>
    </row>
    <row r="56" spans="1:11" ht="12.75">
      <c r="A56" s="960" t="s">
        <v>420</v>
      </c>
      <c r="B56" s="940"/>
      <c r="C56" s="940"/>
      <c r="D56" s="897">
        <f t="shared" si="8"/>
        <v>0.18013478251004061</v>
      </c>
      <c r="E56" s="897">
        <f t="shared" si="8"/>
        <v>0.06501940768664939</v>
      </c>
      <c r="F56" s="897">
        <f t="shared" si="8"/>
        <v>0.13969629503183417</v>
      </c>
      <c r="G56" s="897">
        <f t="shared" si="8"/>
        <v>0.1910900078385374</v>
      </c>
      <c r="H56" s="897">
        <f t="shared" si="8"/>
        <v>0.1286992560975237</v>
      </c>
      <c r="I56" s="897">
        <f t="shared" si="8"/>
        <v>0.06490055522309053</v>
      </c>
      <c r="J56" s="897">
        <f t="shared" si="8"/>
        <v>0.02820188484224202</v>
      </c>
      <c r="K56" s="958">
        <f t="shared" si="8"/>
        <v>0.016744403085604178</v>
      </c>
    </row>
    <row r="57" spans="1:11" ht="12.75">
      <c r="A57" s="960" t="s">
        <v>421</v>
      </c>
      <c r="B57" s="940"/>
      <c r="C57" s="940"/>
      <c r="D57" s="897">
        <f t="shared" si="8"/>
        <v>0.33581499563067674</v>
      </c>
      <c r="E57" s="897">
        <f t="shared" si="8"/>
        <v>0.29739989266280115</v>
      </c>
      <c r="F57" s="897">
        <f t="shared" si="8"/>
        <v>0.3185385106611894</v>
      </c>
      <c r="G57" s="897">
        <f t="shared" si="8"/>
        <v>0.2742662057161172</v>
      </c>
      <c r="H57" s="897">
        <f t="shared" si="8"/>
        <v>0.4228740152262912</v>
      </c>
      <c r="I57" s="897">
        <f t="shared" si="8"/>
        <v>0.3267019361812201</v>
      </c>
      <c r="J57" s="897">
        <f t="shared" si="8"/>
        <v>0.4625642921505362</v>
      </c>
      <c r="K57" s="958">
        <f t="shared" si="8"/>
        <v>0.4091116898879814</v>
      </c>
    </row>
    <row r="58" spans="1:11" ht="12.75">
      <c r="A58" s="961" t="s">
        <v>430</v>
      </c>
      <c r="B58" s="962"/>
      <c r="C58" s="962"/>
      <c r="D58" s="900">
        <f t="shared" si="8"/>
        <v>0.5007206735757187</v>
      </c>
      <c r="E58" s="900">
        <f t="shared" si="8"/>
        <v>0.39864555461679196</v>
      </c>
      <c r="F58" s="900">
        <f t="shared" si="8"/>
        <v>0.4932405951164311</v>
      </c>
      <c r="G58" s="900">
        <f t="shared" si="8"/>
        <v>0.5101595355838984</v>
      </c>
      <c r="H58" s="900">
        <f t="shared" si="8"/>
        <v>0.5945437064678522</v>
      </c>
      <c r="I58" s="900">
        <f t="shared" si="8"/>
        <v>0.49829906164549864</v>
      </c>
      <c r="J58" s="900">
        <f t="shared" si="8"/>
        <v>0.5142116965375277</v>
      </c>
      <c r="K58" s="957">
        <f t="shared" si="8"/>
        <v>0.5770852130443844</v>
      </c>
    </row>
    <row r="61" spans="1:11" ht="15.75">
      <c r="A61" s="1243" t="s">
        <v>227</v>
      </c>
      <c r="B61" s="1243"/>
      <c r="C61" s="1243"/>
      <c r="D61" s="1243"/>
      <c r="E61" s="1243"/>
      <c r="F61" s="1243"/>
      <c r="G61" s="1243"/>
      <c r="H61" s="1243"/>
      <c r="I61" s="1243"/>
      <c r="J61" s="1243"/>
      <c r="K61" s="1243"/>
    </row>
    <row r="62" spans="1:11" ht="15.75">
      <c r="A62" s="869"/>
      <c r="B62" s="869"/>
      <c r="C62" s="869"/>
      <c r="D62" s="869"/>
      <c r="E62" s="869"/>
      <c r="F62" s="869"/>
      <c r="G62" s="869"/>
      <c r="H62" s="869"/>
      <c r="I62" s="869"/>
      <c r="J62" s="869"/>
      <c r="K62" s="878" t="s">
        <v>132</v>
      </c>
    </row>
    <row r="63" spans="1:11" ht="12.75">
      <c r="A63" s="1241" t="s">
        <v>441</v>
      </c>
      <c r="B63" s="1156" t="s">
        <v>410</v>
      </c>
      <c r="C63" s="1156"/>
      <c r="D63" s="1156"/>
      <c r="E63" s="1156"/>
      <c r="F63" s="1156"/>
      <c r="G63" s="1156"/>
      <c r="H63" s="1156"/>
      <c r="I63" s="1156"/>
      <c r="J63" s="1021" t="s">
        <v>407</v>
      </c>
      <c r="K63" s="1022" t="s">
        <v>407</v>
      </c>
    </row>
    <row r="64" spans="1:11" ht="12.75">
      <c r="A64" s="1242" t="s">
        <v>441</v>
      </c>
      <c r="B64" s="839">
        <v>1998</v>
      </c>
      <c r="C64" s="839">
        <v>1999</v>
      </c>
      <c r="D64" s="839" t="s">
        <v>4</v>
      </c>
      <c r="E64" s="839" t="s">
        <v>5</v>
      </c>
      <c r="F64" s="839" t="s">
        <v>6</v>
      </c>
      <c r="G64" s="839" t="s">
        <v>487</v>
      </c>
      <c r="H64" s="839" t="s">
        <v>496</v>
      </c>
      <c r="I64" s="839" t="s">
        <v>498</v>
      </c>
      <c r="J64" s="839" t="s">
        <v>663</v>
      </c>
      <c r="K64" s="1023" t="s">
        <v>7</v>
      </c>
    </row>
    <row r="65" spans="1:11" ht="12.75">
      <c r="A65" s="964" t="s">
        <v>424</v>
      </c>
      <c r="B65" s="881"/>
      <c r="C65" s="881"/>
      <c r="D65" s="881">
        <v>4366</v>
      </c>
      <c r="E65" s="881">
        <v>5007</v>
      </c>
      <c r="F65" s="881">
        <v>6262</v>
      </c>
      <c r="G65" s="881">
        <v>7940</v>
      </c>
      <c r="H65" s="881">
        <v>8101</v>
      </c>
      <c r="I65" s="881">
        <v>8702</v>
      </c>
      <c r="J65" s="881">
        <v>8892</v>
      </c>
      <c r="K65" s="882">
        <f>K35/1000</f>
        <v>9201.061</v>
      </c>
    </row>
    <row r="66" spans="1:11" ht="12.75">
      <c r="A66" s="1049" t="s">
        <v>135</v>
      </c>
      <c r="B66" s="1050"/>
      <c r="C66" s="1050"/>
      <c r="D66" s="1050">
        <v>6161</v>
      </c>
      <c r="E66" s="1050">
        <v>6389</v>
      </c>
      <c r="F66" s="1050">
        <v>7769</v>
      </c>
      <c r="G66" s="1050">
        <v>9711</v>
      </c>
      <c r="H66" s="1050">
        <v>10442</v>
      </c>
      <c r="I66" s="1050">
        <v>11253</v>
      </c>
      <c r="J66" s="1055">
        <v>9719</v>
      </c>
      <c r="K66" s="1056">
        <f>2713+6736-407+332</f>
        <v>9374</v>
      </c>
    </row>
    <row r="67" spans="1:11" ht="12.75">
      <c r="A67" s="1015" t="s">
        <v>163</v>
      </c>
      <c r="B67" s="1052"/>
      <c r="C67" s="1052"/>
      <c r="D67" s="954">
        <f aca="true" t="shared" si="9" ref="D67:K67">SUM(D65/D66)</f>
        <v>0.7086511929881513</v>
      </c>
      <c r="E67" s="954">
        <f t="shared" si="9"/>
        <v>0.7836907184222883</v>
      </c>
      <c r="F67" s="954">
        <f t="shared" si="9"/>
        <v>0.8060239413051873</v>
      </c>
      <c r="G67" s="954">
        <f t="shared" si="9"/>
        <v>0.8176294923282875</v>
      </c>
      <c r="H67" s="954">
        <f t="shared" si="9"/>
        <v>0.7758092319479027</v>
      </c>
      <c r="I67" s="954">
        <f t="shared" si="9"/>
        <v>0.7733048964720519</v>
      </c>
      <c r="J67" s="954">
        <f t="shared" si="9"/>
        <v>0.9149089412490997</v>
      </c>
      <c r="K67" s="955">
        <f t="shared" si="9"/>
        <v>0.9815512054619159</v>
      </c>
    </row>
    <row r="71" spans="1:10" ht="12.75">
      <c r="A71" s="867"/>
      <c r="B71" s="867"/>
      <c r="C71" s="867"/>
      <c r="D71" s="905"/>
      <c r="E71" s="905"/>
      <c r="F71" s="905"/>
      <c r="G71" s="905"/>
      <c r="H71" s="905"/>
      <c r="I71" s="905"/>
      <c r="J71" s="905"/>
    </row>
    <row r="72" ht="12.75">
      <c r="E72" s="876" t="s">
        <v>208</v>
      </c>
    </row>
    <row r="74" spans="1:11" ht="12.75">
      <c r="A74" s="852"/>
      <c r="B74" s="831">
        <v>1998</v>
      </c>
      <c r="C74" s="828">
        <v>1999</v>
      </c>
      <c r="D74" s="828">
        <v>2000</v>
      </c>
      <c r="E74" s="828">
        <v>2001</v>
      </c>
      <c r="F74" s="828">
        <v>2002</v>
      </c>
      <c r="G74" s="828">
        <v>2003</v>
      </c>
      <c r="H74" s="828">
        <v>2004</v>
      </c>
      <c r="I74" s="853">
        <v>2005</v>
      </c>
      <c r="J74" s="863" t="s">
        <v>396</v>
      </c>
      <c r="K74" s="864" t="s">
        <v>220</v>
      </c>
    </row>
    <row r="75" spans="1:11" ht="12.75">
      <c r="A75" s="890" t="s">
        <v>411</v>
      </c>
      <c r="B75" s="879">
        <v>4208240</v>
      </c>
      <c r="C75" s="880">
        <v>4777712</v>
      </c>
      <c r="D75" s="880">
        <v>4983642</v>
      </c>
      <c r="E75" s="880">
        <v>5827464</v>
      </c>
      <c r="F75" s="880">
        <v>7209983</v>
      </c>
      <c r="G75" s="880">
        <v>9062760</v>
      </c>
      <c r="H75" s="880">
        <v>9221611</v>
      </c>
      <c r="I75" s="880">
        <v>9993605</v>
      </c>
      <c r="J75" s="881">
        <v>10181257</v>
      </c>
      <c r="K75" s="944">
        <f>K7</f>
        <v>10037826</v>
      </c>
    </row>
    <row r="76" spans="1:11" ht="12.75">
      <c r="A76" s="895" t="s">
        <v>412</v>
      </c>
      <c r="B76" s="883">
        <v>2425962</v>
      </c>
      <c r="C76" s="884">
        <v>1799580</v>
      </c>
      <c r="D76" s="884">
        <v>2203550</v>
      </c>
      <c r="E76" s="884">
        <v>5126577</v>
      </c>
      <c r="F76" s="884">
        <v>3028663</v>
      </c>
      <c r="G76" s="884">
        <v>1773290</v>
      </c>
      <c r="H76" s="884">
        <v>2616472</v>
      </c>
      <c r="I76" s="884">
        <v>4269455</v>
      </c>
      <c r="J76" s="884">
        <v>6770434</v>
      </c>
      <c r="K76" s="944">
        <f>K8</f>
        <v>3711688</v>
      </c>
    </row>
    <row r="77" spans="1:11" ht="12.75">
      <c r="A77" s="898" t="s">
        <v>413</v>
      </c>
      <c r="B77" s="886">
        <v>4913636</v>
      </c>
      <c r="C77" s="887">
        <v>5505898</v>
      </c>
      <c r="D77" s="887">
        <v>7060590</v>
      </c>
      <c r="E77" s="887">
        <v>9610834</v>
      </c>
      <c r="F77" s="887">
        <v>9359603</v>
      </c>
      <c r="G77" s="887">
        <v>11662567</v>
      </c>
      <c r="H77" s="887">
        <v>8149588</v>
      </c>
      <c r="I77" s="887">
        <v>10909516</v>
      </c>
      <c r="J77" s="887">
        <v>7081541</v>
      </c>
      <c r="K77" s="944">
        <f>K9</f>
        <v>7909400</v>
      </c>
    </row>
    <row r="78" spans="1:11" ht="13.5" thickBot="1">
      <c r="A78" s="902" t="s">
        <v>414</v>
      </c>
      <c r="B78" s="949">
        <v>11547838</v>
      </c>
      <c r="C78" s="950">
        <v>12083190</v>
      </c>
      <c r="D78" s="950">
        <v>14247782</v>
      </c>
      <c r="E78" s="950">
        <v>20564875</v>
      </c>
      <c r="F78" s="950">
        <v>19598249</v>
      </c>
      <c r="G78" s="950">
        <v>22498617</v>
      </c>
      <c r="H78" s="950">
        <v>19987671</v>
      </c>
      <c r="I78" s="950">
        <v>25172576</v>
      </c>
      <c r="J78" s="951">
        <v>24033232</v>
      </c>
      <c r="K78" s="952">
        <f>SUM(K75:K77)</f>
        <v>21658914</v>
      </c>
    </row>
    <row r="79" ht="13.5" thickTop="1"/>
    <row r="102" spans="1:11" ht="12.75">
      <c r="A102" s="876" t="s">
        <v>441</v>
      </c>
      <c r="B102" s="876" t="s">
        <v>410</v>
      </c>
      <c r="J102" s="876" t="s">
        <v>407</v>
      </c>
      <c r="K102" s="876" t="s">
        <v>407</v>
      </c>
    </row>
    <row r="103" spans="2:11" ht="12.75">
      <c r="B103" s="876">
        <v>1998</v>
      </c>
      <c r="C103" s="876">
        <v>1999</v>
      </c>
      <c r="D103" s="876">
        <v>2000</v>
      </c>
      <c r="E103" s="876">
        <v>2001</v>
      </c>
      <c r="F103" s="876">
        <v>2002</v>
      </c>
      <c r="G103" s="876">
        <v>2003</v>
      </c>
      <c r="H103" s="876">
        <v>2004</v>
      </c>
      <c r="I103" s="876">
        <v>2005</v>
      </c>
      <c r="J103" s="876">
        <v>2006</v>
      </c>
      <c r="K103" s="876">
        <v>2007</v>
      </c>
    </row>
    <row r="104" spans="1:11" ht="12.75">
      <c r="A104" s="966" t="s">
        <v>415</v>
      </c>
      <c r="B104" s="966"/>
      <c r="C104" s="966"/>
      <c r="D104" s="966">
        <v>4366171</v>
      </c>
      <c r="E104" s="966">
        <v>5006508</v>
      </c>
      <c r="F104" s="966">
        <v>6262165</v>
      </c>
      <c r="G104" s="966">
        <v>7940378</v>
      </c>
      <c r="H104" s="966">
        <v>8100557</v>
      </c>
      <c r="I104" s="966">
        <v>8702221</v>
      </c>
      <c r="J104" s="966">
        <v>8891562</v>
      </c>
      <c r="K104" s="966">
        <v>9201061</v>
      </c>
    </row>
    <row r="105" spans="1:11" ht="12.75">
      <c r="A105" s="966" t="s">
        <v>416</v>
      </c>
      <c r="B105" s="966"/>
      <c r="C105" s="966"/>
      <c r="D105" s="966">
        <v>396936</v>
      </c>
      <c r="E105" s="966">
        <v>333327</v>
      </c>
      <c r="F105" s="966">
        <v>423093</v>
      </c>
      <c r="G105" s="966">
        <v>338858</v>
      </c>
      <c r="H105" s="966">
        <v>336738</v>
      </c>
      <c r="I105" s="966">
        <v>277090</v>
      </c>
      <c r="J105" s="966">
        <v>190939</v>
      </c>
      <c r="K105" s="966">
        <v>62150</v>
      </c>
    </row>
    <row r="106" spans="1:11" ht="12.75">
      <c r="A106" s="966" t="s">
        <v>417</v>
      </c>
      <c r="B106" s="966"/>
      <c r="C106" s="966"/>
      <c r="D106" s="966">
        <v>2371052</v>
      </c>
      <c r="E106" s="966">
        <v>2858261</v>
      </c>
      <c r="F106" s="966">
        <v>2981394</v>
      </c>
      <c r="G106" s="966">
        <v>3198648</v>
      </c>
      <c r="H106" s="966">
        <v>3446249</v>
      </c>
      <c r="I106" s="966">
        <v>3564160</v>
      </c>
      <c r="J106" s="966">
        <v>3275668</v>
      </c>
      <c r="K106" s="966">
        <v>3235828</v>
      </c>
    </row>
    <row r="107" spans="1:11" ht="12.75">
      <c r="A107" s="966" t="s">
        <v>418</v>
      </c>
      <c r="B107" s="966"/>
      <c r="C107" s="966"/>
      <c r="D107" s="966">
        <v>7134159</v>
      </c>
      <c r="E107" s="966">
        <v>8198096</v>
      </c>
      <c r="F107" s="966">
        <v>9666652</v>
      </c>
      <c r="G107" s="966">
        <v>11477884</v>
      </c>
      <c r="H107" s="966">
        <v>11883544</v>
      </c>
      <c r="I107" s="966">
        <v>12543471</v>
      </c>
      <c r="J107" s="966">
        <v>12358169</v>
      </c>
      <c r="K107" s="966">
        <v>12025467</v>
      </c>
    </row>
    <row r="133" ht="13.5" thickBot="1"/>
    <row r="134" spans="1:11" ht="13.5" thickTop="1">
      <c r="A134" s="854"/>
      <c r="D134" s="827">
        <v>2000</v>
      </c>
      <c r="E134" s="827">
        <v>2001</v>
      </c>
      <c r="F134" s="827">
        <v>2002</v>
      </c>
      <c r="G134" s="827">
        <v>2003</v>
      </c>
      <c r="H134" s="827">
        <v>2004</v>
      </c>
      <c r="I134" s="827">
        <v>2005</v>
      </c>
      <c r="J134" s="865">
        <v>2006</v>
      </c>
      <c r="K134" s="862">
        <v>2007</v>
      </c>
    </row>
    <row r="135" spans="1:11" ht="12.75">
      <c r="A135" s="906" t="s">
        <v>187</v>
      </c>
      <c r="D135" s="881">
        <v>4984</v>
      </c>
      <c r="E135" s="881">
        <v>5827</v>
      </c>
      <c r="F135" s="881">
        <v>7210</v>
      </c>
      <c r="G135" s="881">
        <v>9063</v>
      </c>
      <c r="H135" s="881">
        <v>9222</v>
      </c>
      <c r="I135" s="881">
        <v>9994</v>
      </c>
      <c r="J135" s="881">
        <v>10181</v>
      </c>
      <c r="K135" s="944">
        <f>K25</f>
        <v>10038</v>
      </c>
    </row>
    <row r="136" spans="1:11" ht="12.75">
      <c r="A136" s="908" t="s">
        <v>164</v>
      </c>
      <c r="D136" s="866">
        <v>6161</v>
      </c>
      <c r="E136" s="866">
        <v>6389</v>
      </c>
      <c r="F136" s="866">
        <v>7769</v>
      </c>
      <c r="G136" s="866">
        <v>9711</v>
      </c>
      <c r="H136" s="866">
        <v>10442</v>
      </c>
      <c r="I136" s="866">
        <v>11253</v>
      </c>
      <c r="J136" s="866">
        <v>9719</v>
      </c>
      <c r="K136" s="910">
        <v>9374</v>
      </c>
    </row>
    <row r="156" ht="13.5" thickBot="1"/>
    <row r="157" spans="1:11" ht="13.5" thickTop="1">
      <c r="A157" s="860"/>
      <c r="D157" s="861">
        <v>2000</v>
      </c>
      <c r="E157" s="861">
        <v>2001</v>
      </c>
      <c r="F157" s="861">
        <v>2002</v>
      </c>
      <c r="G157" s="861">
        <v>2003</v>
      </c>
      <c r="H157" s="861">
        <v>2004</v>
      </c>
      <c r="I157" s="861">
        <v>2005</v>
      </c>
      <c r="J157" s="861">
        <v>2006</v>
      </c>
      <c r="K157" s="862">
        <v>2007</v>
      </c>
    </row>
    <row r="158" spans="1:11" ht="12.75">
      <c r="A158" s="943" t="s">
        <v>165</v>
      </c>
      <c r="D158" s="881">
        <v>4366</v>
      </c>
      <c r="E158" s="881">
        <v>5007</v>
      </c>
      <c r="F158" s="881">
        <v>6262</v>
      </c>
      <c r="G158" s="881">
        <v>7940</v>
      </c>
      <c r="H158" s="881">
        <v>8101</v>
      </c>
      <c r="I158" s="881">
        <v>8702</v>
      </c>
      <c r="J158" s="881">
        <v>8892</v>
      </c>
      <c r="K158" s="944">
        <f>K65</f>
        <v>9201.061</v>
      </c>
    </row>
    <row r="159" spans="1:11" ht="12.75">
      <c r="A159" s="945" t="s">
        <v>164</v>
      </c>
      <c r="D159" s="866">
        <v>6161</v>
      </c>
      <c r="E159" s="866">
        <v>6389</v>
      </c>
      <c r="F159" s="866">
        <v>7769</v>
      </c>
      <c r="G159" s="866">
        <v>9711</v>
      </c>
      <c r="H159" s="866">
        <v>10442</v>
      </c>
      <c r="I159" s="866">
        <v>11253</v>
      </c>
      <c r="J159" s="866">
        <v>9719</v>
      </c>
      <c r="K159" s="910">
        <v>9374</v>
      </c>
    </row>
  </sheetData>
  <mergeCells count="20">
    <mergeCell ref="A50:K50"/>
    <mergeCell ref="A2:K2"/>
    <mergeCell ref="A13:K13"/>
    <mergeCell ref="B52:I52"/>
    <mergeCell ref="A5:A6"/>
    <mergeCell ref="B5:I5"/>
    <mergeCell ref="A30:K30"/>
    <mergeCell ref="A32:A33"/>
    <mergeCell ref="B32:I32"/>
    <mergeCell ref="A52:A53"/>
    <mergeCell ref="A63:A64"/>
    <mergeCell ref="B63:I63"/>
    <mergeCell ref="A61:K61"/>
    <mergeCell ref="A15:A16"/>
    <mergeCell ref="B15:I15"/>
    <mergeCell ref="A22:K22"/>
    <mergeCell ref="A40:K40"/>
    <mergeCell ref="A42:A43"/>
    <mergeCell ref="B42:I42"/>
    <mergeCell ref="A54:B54"/>
  </mergeCells>
  <printOptions horizontalCentered="1"/>
  <pageMargins left="0.29" right="0.23" top="0.65" bottom="0.35" header="0.39" footer="0.32"/>
  <pageSetup horizontalDpi="600" verticalDpi="600" orientation="portrait" paperSize="9" scale="70" r:id="rId2"/>
  <rowBreaks count="2" manualBreakCount="2">
    <brk id="67" max="9" man="1"/>
    <brk id="70" max="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S192"/>
  <sheetViews>
    <sheetView workbookViewId="0" topLeftCell="A1">
      <selection activeCell="J196" sqref="J196"/>
    </sheetView>
  </sheetViews>
  <sheetFormatPr defaultColWidth="9.140625" defaultRowHeight="12.75"/>
  <cols>
    <col min="1" max="1" width="26.7109375" style="876" customWidth="1"/>
    <col min="2" max="9" width="12.57421875" style="876" customWidth="1"/>
    <col min="10" max="10" width="12.421875" style="876" customWidth="1"/>
    <col min="11" max="11" width="9.140625" style="876" customWidth="1"/>
    <col min="12" max="12" width="9.28125" style="876" bestFit="1" customWidth="1"/>
    <col min="13" max="13" width="9.7109375" style="876" bestFit="1" customWidth="1"/>
    <col min="14" max="14" width="9.28125" style="876" bestFit="1" customWidth="1"/>
    <col min="15" max="15" width="9.7109375" style="876" bestFit="1" customWidth="1"/>
    <col min="16" max="16" width="9.28125" style="876" bestFit="1" customWidth="1"/>
    <col min="17" max="18" width="9.7109375" style="876" bestFit="1" customWidth="1"/>
    <col min="19" max="19" width="9.28125" style="876" bestFit="1" customWidth="1"/>
    <col min="20" max="16384" width="9.140625" style="876" customWidth="1"/>
  </cols>
  <sheetData>
    <row r="1" spans="1:10" ht="18.75">
      <c r="A1" s="877"/>
      <c r="B1" s="877"/>
      <c r="C1" s="877"/>
      <c r="D1" s="877"/>
      <c r="E1" s="877"/>
      <c r="F1" s="877"/>
      <c r="G1" s="877"/>
      <c r="H1" s="877"/>
      <c r="I1" s="967"/>
      <c r="J1" s="877"/>
    </row>
    <row r="2" spans="1:10" ht="15.75">
      <c r="A2" s="1198" t="s">
        <v>184</v>
      </c>
      <c r="B2" s="1198"/>
      <c r="C2" s="1198"/>
      <c r="D2" s="1198"/>
      <c r="E2" s="1198"/>
      <c r="F2" s="1198"/>
      <c r="G2" s="1198"/>
      <c r="H2" s="1198"/>
      <c r="I2" s="1198"/>
      <c r="J2" s="968"/>
    </row>
    <row r="3" spans="1:10" ht="15.75">
      <c r="A3" s="868"/>
      <c r="B3" s="868"/>
      <c r="C3" s="868"/>
      <c r="D3" s="868"/>
      <c r="E3" s="868"/>
      <c r="F3" s="868"/>
      <c r="G3" s="868"/>
      <c r="H3" s="868"/>
      <c r="I3" s="868"/>
      <c r="J3" s="968"/>
    </row>
    <row r="4" ht="12.75">
      <c r="I4" s="878" t="s">
        <v>131</v>
      </c>
    </row>
    <row r="5" spans="1:9" ht="18" customHeight="1">
      <c r="A5" s="1241" t="s">
        <v>441</v>
      </c>
      <c r="B5" s="1156" t="s">
        <v>410</v>
      </c>
      <c r="C5" s="1156"/>
      <c r="D5" s="1156"/>
      <c r="E5" s="1156"/>
      <c r="F5" s="1156"/>
      <c r="G5" s="1156"/>
      <c r="H5" s="1021" t="s">
        <v>407</v>
      </c>
      <c r="I5" s="1022" t="s">
        <v>407</v>
      </c>
    </row>
    <row r="6" spans="1:9" ht="18" customHeight="1">
      <c r="A6" s="1242"/>
      <c r="B6" s="839" t="s">
        <v>4</v>
      </c>
      <c r="C6" s="839" t="s">
        <v>5</v>
      </c>
      <c r="D6" s="839" t="s">
        <v>6</v>
      </c>
      <c r="E6" s="839" t="s">
        <v>487</v>
      </c>
      <c r="F6" s="839" t="s">
        <v>496</v>
      </c>
      <c r="G6" s="839" t="s">
        <v>498</v>
      </c>
      <c r="H6" s="839" t="s">
        <v>663</v>
      </c>
      <c r="I6" s="1023" t="s">
        <v>7</v>
      </c>
    </row>
    <row r="7" spans="1:9" ht="24" customHeight="1">
      <c r="A7" s="1047" t="s">
        <v>411</v>
      </c>
      <c r="B7" s="881">
        <f aca="true" t="shared" si="0" ref="B7:H9">D16-D50</f>
        <v>617471</v>
      </c>
      <c r="C7" s="881">
        <f t="shared" si="0"/>
        <v>820956</v>
      </c>
      <c r="D7" s="881">
        <f t="shared" si="0"/>
        <v>947818</v>
      </c>
      <c r="E7" s="881">
        <f t="shared" si="0"/>
        <v>1122382</v>
      </c>
      <c r="F7" s="881">
        <f t="shared" si="0"/>
        <v>1121054</v>
      </c>
      <c r="G7" s="881">
        <f t="shared" si="0"/>
        <v>1291384</v>
      </c>
      <c r="H7" s="881">
        <f t="shared" si="0"/>
        <v>1289695</v>
      </c>
      <c r="I7" s="1031">
        <v>1310337</v>
      </c>
    </row>
    <row r="8" spans="1:9" ht="24" customHeight="1">
      <c r="A8" s="960" t="s">
        <v>412</v>
      </c>
      <c r="B8" s="884">
        <f t="shared" si="0"/>
        <v>1806614</v>
      </c>
      <c r="C8" s="884">
        <f t="shared" si="0"/>
        <v>4793250</v>
      </c>
      <c r="D8" s="884">
        <f t="shared" si="0"/>
        <v>2605570</v>
      </c>
      <c r="E8" s="884">
        <f t="shared" si="0"/>
        <v>1434432</v>
      </c>
      <c r="F8" s="884">
        <f t="shared" si="0"/>
        <v>2279734</v>
      </c>
      <c r="G8" s="884">
        <f t="shared" si="0"/>
        <v>3992365</v>
      </c>
      <c r="H8" s="884">
        <f t="shared" si="0"/>
        <v>6579495</v>
      </c>
      <c r="I8" s="969">
        <v>3649538</v>
      </c>
    </row>
    <row r="9" spans="1:19" ht="24" customHeight="1">
      <c r="A9" s="1048" t="s">
        <v>413</v>
      </c>
      <c r="B9" s="930">
        <f t="shared" si="0"/>
        <v>4689538</v>
      </c>
      <c r="C9" s="930">
        <f t="shared" si="0"/>
        <v>6752573</v>
      </c>
      <c r="D9" s="930">
        <f t="shared" si="0"/>
        <v>6378209</v>
      </c>
      <c r="E9" s="930">
        <f t="shared" si="0"/>
        <v>8463919</v>
      </c>
      <c r="F9" s="930">
        <f t="shared" si="0"/>
        <v>4703339</v>
      </c>
      <c r="G9" s="930">
        <f t="shared" si="0"/>
        <v>7345356</v>
      </c>
      <c r="H9" s="930">
        <f t="shared" si="0"/>
        <v>3805873</v>
      </c>
      <c r="I9" s="1033">
        <v>3458015</v>
      </c>
      <c r="K9" s="876" t="s">
        <v>441</v>
      </c>
      <c r="L9" s="876" t="s">
        <v>410</v>
      </c>
      <c r="R9" s="876" t="s">
        <v>407</v>
      </c>
      <c r="S9" s="876" t="s">
        <v>407</v>
      </c>
    </row>
    <row r="10" spans="1:19" ht="24" customHeight="1">
      <c r="A10" s="977" t="s">
        <v>414</v>
      </c>
      <c r="B10" s="1016">
        <f aca="true" t="shared" si="1" ref="B10:I10">SUM(B7:B9)</f>
        <v>7113623</v>
      </c>
      <c r="C10" s="1016">
        <f t="shared" si="1"/>
        <v>12366779</v>
      </c>
      <c r="D10" s="1016">
        <f t="shared" si="1"/>
        <v>9931597</v>
      </c>
      <c r="E10" s="1016">
        <f t="shared" si="1"/>
        <v>11020733</v>
      </c>
      <c r="F10" s="1016">
        <f t="shared" si="1"/>
        <v>8104127</v>
      </c>
      <c r="G10" s="1016">
        <f t="shared" si="1"/>
        <v>12629105</v>
      </c>
      <c r="H10" s="1016">
        <f t="shared" si="1"/>
        <v>11675063</v>
      </c>
      <c r="I10" s="1017">
        <f t="shared" si="1"/>
        <v>8417890</v>
      </c>
      <c r="L10" s="876">
        <v>2000</v>
      </c>
      <c r="M10" s="876">
        <v>2001</v>
      </c>
      <c r="N10" s="876">
        <v>2002</v>
      </c>
      <c r="O10" s="876">
        <v>2003</v>
      </c>
      <c r="P10" s="876">
        <v>2004</v>
      </c>
      <c r="Q10" s="876">
        <v>2005</v>
      </c>
      <c r="R10" s="876">
        <v>2006</v>
      </c>
      <c r="S10" s="876">
        <v>2007</v>
      </c>
    </row>
    <row r="11" spans="10:19" ht="12.75">
      <c r="J11" s="878"/>
      <c r="K11" s="966" t="s">
        <v>411</v>
      </c>
      <c r="L11" s="966">
        <v>617471</v>
      </c>
      <c r="M11" s="966">
        <v>820956</v>
      </c>
      <c r="N11" s="966">
        <v>947818</v>
      </c>
      <c r="O11" s="966">
        <v>1122382</v>
      </c>
      <c r="P11" s="966">
        <v>1121054</v>
      </c>
      <c r="Q11" s="966">
        <v>1291384</v>
      </c>
      <c r="R11" s="966">
        <v>1289695</v>
      </c>
      <c r="S11" s="966">
        <f>I7</f>
        <v>1310337</v>
      </c>
    </row>
    <row r="12" spans="10:19" ht="12.75" hidden="1">
      <c r="J12" s="878"/>
      <c r="K12" s="966" t="s">
        <v>412</v>
      </c>
      <c r="L12" s="966">
        <v>1806614</v>
      </c>
      <c r="M12" s="966">
        <v>4793250</v>
      </c>
      <c r="N12" s="966">
        <v>2605570</v>
      </c>
      <c r="O12" s="966">
        <v>1434432</v>
      </c>
      <c r="P12" s="966">
        <v>2279734</v>
      </c>
      <c r="Q12" s="966">
        <v>3992365</v>
      </c>
      <c r="R12" s="966">
        <v>6579495</v>
      </c>
      <c r="S12" s="966">
        <f>I8</f>
        <v>3649538</v>
      </c>
    </row>
    <row r="13" spans="10:19" ht="12.75" hidden="1">
      <c r="J13" s="878"/>
      <c r="K13" s="966" t="s">
        <v>413</v>
      </c>
      <c r="L13" s="966">
        <v>4689538</v>
      </c>
      <c r="M13" s="966">
        <v>6752573</v>
      </c>
      <c r="N13" s="966">
        <v>6378209</v>
      </c>
      <c r="O13" s="966">
        <v>8463919</v>
      </c>
      <c r="P13" s="966">
        <v>4703339</v>
      </c>
      <c r="Q13" s="966">
        <v>7345356</v>
      </c>
      <c r="R13" s="966">
        <v>3805873</v>
      </c>
      <c r="S13" s="966">
        <f>I9</f>
        <v>3458015</v>
      </c>
    </row>
    <row r="14" spans="1:19" ht="18.75" customHeight="1" hidden="1" thickTop="1">
      <c r="A14" s="1249" t="s">
        <v>410</v>
      </c>
      <c r="B14" s="1250"/>
      <c r="C14" s="1250"/>
      <c r="D14" s="1250"/>
      <c r="E14" s="1250"/>
      <c r="F14" s="1250"/>
      <c r="G14" s="1250"/>
      <c r="H14" s="1250"/>
      <c r="I14" s="1251"/>
      <c r="J14" s="830" t="s">
        <v>407</v>
      </c>
      <c r="K14" s="966" t="s">
        <v>414</v>
      </c>
      <c r="L14" s="966">
        <v>7113623</v>
      </c>
      <c r="M14" s="966">
        <v>12366779</v>
      </c>
      <c r="N14" s="966">
        <v>9931597</v>
      </c>
      <c r="O14" s="966">
        <v>11020733</v>
      </c>
      <c r="P14" s="966">
        <v>8104127</v>
      </c>
      <c r="Q14" s="966">
        <v>12629105</v>
      </c>
      <c r="R14" s="966">
        <v>11675063</v>
      </c>
      <c r="S14" s="966">
        <f>SUM(S11:S13)</f>
        <v>8417890</v>
      </c>
    </row>
    <row r="15" spans="1:10" ht="18.75" customHeight="1" hidden="1">
      <c r="A15" s="852" t="s">
        <v>441</v>
      </c>
      <c r="B15" s="831">
        <v>1998</v>
      </c>
      <c r="C15" s="828">
        <v>1999</v>
      </c>
      <c r="D15" s="828">
        <v>2000</v>
      </c>
      <c r="E15" s="828">
        <v>2001</v>
      </c>
      <c r="F15" s="828">
        <v>2002</v>
      </c>
      <c r="G15" s="828">
        <v>2003</v>
      </c>
      <c r="H15" s="828">
        <v>2004</v>
      </c>
      <c r="I15" s="853">
        <v>2005</v>
      </c>
      <c r="J15" s="832">
        <v>2006</v>
      </c>
    </row>
    <row r="16" spans="1:10" ht="18.75" customHeight="1" hidden="1">
      <c r="A16" s="890" t="s">
        <v>411</v>
      </c>
      <c r="B16" s="879">
        <v>4208240</v>
      </c>
      <c r="C16" s="880">
        <v>4777712</v>
      </c>
      <c r="D16" s="880">
        <v>4983642</v>
      </c>
      <c r="E16" s="880">
        <v>5827464</v>
      </c>
      <c r="F16" s="880">
        <v>7209983</v>
      </c>
      <c r="G16" s="880">
        <v>9062760</v>
      </c>
      <c r="H16" s="880">
        <v>9221611</v>
      </c>
      <c r="I16" s="880">
        <v>9993605</v>
      </c>
      <c r="J16" s="944">
        <v>10181257</v>
      </c>
    </row>
    <row r="17" spans="1:10" ht="18.75" customHeight="1" hidden="1">
      <c r="A17" s="895" t="s">
        <v>412</v>
      </c>
      <c r="B17" s="883">
        <v>2425962</v>
      </c>
      <c r="C17" s="884">
        <v>1799580</v>
      </c>
      <c r="D17" s="884">
        <v>2203550</v>
      </c>
      <c r="E17" s="884">
        <v>5126577</v>
      </c>
      <c r="F17" s="884">
        <v>3028663</v>
      </c>
      <c r="G17" s="884">
        <v>1773290</v>
      </c>
      <c r="H17" s="884">
        <v>2616472</v>
      </c>
      <c r="I17" s="884">
        <v>4269455</v>
      </c>
      <c r="J17" s="947">
        <v>6770434</v>
      </c>
    </row>
    <row r="18" spans="1:10" ht="18.75" customHeight="1" hidden="1">
      <c r="A18" s="898" t="s">
        <v>413</v>
      </c>
      <c r="B18" s="886">
        <v>4913636</v>
      </c>
      <c r="C18" s="887">
        <v>5505898</v>
      </c>
      <c r="D18" s="887">
        <v>7060590</v>
      </c>
      <c r="E18" s="887">
        <v>9610834</v>
      </c>
      <c r="F18" s="887">
        <v>9359603</v>
      </c>
      <c r="G18" s="887">
        <v>11662567</v>
      </c>
      <c r="H18" s="887">
        <v>8149588</v>
      </c>
      <c r="I18" s="887">
        <v>10909516</v>
      </c>
      <c r="J18" s="948">
        <v>7081541</v>
      </c>
    </row>
    <row r="19" spans="1:10" ht="18.75" customHeight="1" hidden="1" thickBot="1">
      <c r="A19" s="902" t="s">
        <v>414</v>
      </c>
      <c r="B19" s="949">
        <v>11547838</v>
      </c>
      <c r="C19" s="950">
        <v>12083190</v>
      </c>
      <c r="D19" s="950">
        <v>14247782</v>
      </c>
      <c r="E19" s="950">
        <v>20564875</v>
      </c>
      <c r="F19" s="950">
        <v>19598249</v>
      </c>
      <c r="G19" s="950">
        <v>22498617</v>
      </c>
      <c r="H19" s="950">
        <v>19987671</v>
      </c>
      <c r="I19" s="950">
        <v>25172576</v>
      </c>
      <c r="J19" s="926">
        <v>24033232</v>
      </c>
    </row>
    <row r="20" spans="1:11" ht="13.5" hidden="1" thickTop="1">
      <c r="A20" s="888"/>
      <c r="B20" s="888"/>
      <c r="C20" s="888"/>
      <c r="D20" s="888"/>
      <c r="E20" s="888"/>
      <c r="F20" s="888"/>
      <c r="G20" s="888"/>
      <c r="H20" s="888"/>
      <c r="I20" s="888"/>
      <c r="J20" s="888"/>
      <c r="K20" s="867"/>
    </row>
    <row r="21" spans="1:11" ht="12.75" hidden="1">
      <c r="A21" s="888"/>
      <c r="B21" s="888"/>
      <c r="C21" s="888"/>
      <c r="D21" s="888"/>
      <c r="E21" s="888"/>
      <c r="F21" s="888"/>
      <c r="G21" s="888"/>
      <c r="H21" s="888"/>
      <c r="I21" s="888"/>
      <c r="J21" s="888"/>
      <c r="K21" s="867"/>
    </row>
    <row r="22" spans="1:11" ht="12.75" hidden="1">
      <c r="A22" s="888"/>
      <c r="B22" s="888"/>
      <c r="C22" s="888"/>
      <c r="D22" s="888"/>
      <c r="E22" s="888"/>
      <c r="F22" s="888"/>
      <c r="G22" s="888"/>
      <c r="H22" s="888"/>
      <c r="I22" s="888"/>
      <c r="J22" s="888"/>
      <c r="K22" s="867"/>
    </row>
    <row r="23" spans="1:10" ht="15.75" hidden="1">
      <c r="A23" s="1205" t="s">
        <v>425</v>
      </c>
      <c r="B23" s="1205"/>
      <c r="C23" s="1205"/>
      <c r="D23" s="1205"/>
      <c r="E23" s="1205"/>
      <c r="F23" s="1205"/>
      <c r="G23" s="1205"/>
      <c r="H23" s="1205"/>
      <c r="I23" s="1205"/>
      <c r="J23" s="1205"/>
    </row>
    <row r="24" spans="1:10" ht="15.75" hidden="1">
      <c r="A24" s="889"/>
      <c r="B24" s="889"/>
      <c r="C24" s="889"/>
      <c r="D24" s="889"/>
      <c r="E24" s="889"/>
      <c r="F24" s="889"/>
      <c r="G24" s="889"/>
      <c r="H24" s="889"/>
      <c r="I24" s="889"/>
      <c r="J24" s="889"/>
    </row>
    <row r="25" spans="1:10" ht="13.5" hidden="1" thickBot="1">
      <c r="A25" s="888"/>
      <c r="B25" s="888"/>
      <c r="C25" s="888"/>
      <c r="D25" s="888"/>
      <c r="E25" s="888"/>
      <c r="F25" s="888"/>
      <c r="G25" s="888"/>
      <c r="H25" s="888"/>
      <c r="I25" s="888"/>
      <c r="J25" s="878" t="s">
        <v>409</v>
      </c>
    </row>
    <row r="26" spans="1:10" ht="18.75" customHeight="1" hidden="1" thickTop="1">
      <c r="A26" s="1249" t="s">
        <v>410</v>
      </c>
      <c r="B26" s="1250"/>
      <c r="C26" s="1250"/>
      <c r="D26" s="1250"/>
      <c r="E26" s="1250"/>
      <c r="F26" s="1250"/>
      <c r="G26" s="1250"/>
      <c r="H26" s="1250"/>
      <c r="I26" s="1250"/>
      <c r="J26" s="830" t="s">
        <v>407</v>
      </c>
    </row>
    <row r="27" spans="1:10" ht="18.75" customHeight="1" hidden="1">
      <c r="A27" s="852" t="s">
        <v>441</v>
      </c>
      <c r="B27" s="831">
        <v>1998</v>
      </c>
      <c r="C27" s="828">
        <v>1999</v>
      </c>
      <c r="D27" s="828">
        <v>2000</v>
      </c>
      <c r="E27" s="828">
        <v>2001</v>
      </c>
      <c r="F27" s="828">
        <v>2002</v>
      </c>
      <c r="G27" s="828">
        <v>2003</v>
      </c>
      <c r="H27" s="828">
        <v>2004</v>
      </c>
      <c r="I27" s="828">
        <v>2005</v>
      </c>
      <c r="J27" s="832">
        <v>2006</v>
      </c>
    </row>
    <row r="28" spans="1:10" ht="18.75" customHeight="1" hidden="1">
      <c r="A28" s="890" t="s">
        <v>419</v>
      </c>
      <c r="B28" s="891">
        <f aca="true" t="shared" si="2" ref="B28:J28">B16/B$19</f>
        <v>0.36441799755071036</v>
      </c>
      <c r="C28" s="892">
        <f t="shared" si="2"/>
        <v>0.39540154545281503</v>
      </c>
      <c r="D28" s="892">
        <f t="shared" si="2"/>
        <v>0.34978370668501246</v>
      </c>
      <c r="E28" s="892">
        <f t="shared" si="2"/>
        <v>0.2833697749196141</v>
      </c>
      <c r="F28" s="892">
        <f t="shared" si="2"/>
        <v>0.36788914152483726</v>
      </c>
      <c r="G28" s="892">
        <f t="shared" si="2"/>
        <v>0.40281409297291476</v>
      </c>
      <c r="H28" s="892">
        <f t="shared" si="2"/>
        <v>0.46136495842862335</v>
      </c>
      <c r="I28" s="892">
        <f t="shared" si="2"/>
        <v>0.3970036678010228</v>
      </c>
      <c r="J28" s="894">
        <f t="shared" si="2"/>
        <v>0.4236324519315588</v>
      </c>
    </row>
    <row r="29" spans="1:10" ht="18.75" customHeight="1" hidden="1">
      <c r="A29" s="895" t="s">
        <v>420</v>
      </c>
      <c r="B29" s="896">
        <f aca="true" t="shared" si="3" ref="B29:J29">B17/B$19</f>
        <v>0.21007932393925166</v>
      </c>
      <c r="C29" s="897">
        <f t="shared" si="3"/>
        <v>0.1489325252685756</v>
      </c>
      <c r="D29" s="897">
        <f t="shared" si="3"/>
        <v>0.1546591602819302</v>
      </c>
      <c r="E29" s="897">
        <f t="shared" si="3"/>
        <v>0.24928802144433165</v>
      </c>
      <c r="F29" s="897">
        <f t="shared" si="3"/>
        <v>0.15453742831821354</v>
      </c>
      <c r="G29" s="897">
        <f t="shared" si="3"/>
        <v>0.07881773355224457</v>
      </c>
      <c r="H29" s="897">
        <f t="shared" si="3"/>
        <v>0.13090429595324038</v>
      </c>
      <c r="I29" s="897">
        <f t="shared" si="3"/>
        <v>0.1696073933792076</v>
      </c>
      <c r="J29" s="927">
        <f t="shared" si="3"/>
        <v>0.2817113403640426</v>
      </c>
    </row>
    <row r="30" spans="1:10" ht="18.75" customHeight="1" hidden="1">
      <c r="A30" s="898" t="s">
        <v>421</v>
      </c>
      <c r="B30" s="899">
        <f aca="true" t="shared" si="4" ref="B30:J30">B18/B$19</f>
        <v>0.425502678510038</v>
      </c>
      <c r="C30" s="900">
        <f t="shared" si="4"/>
        <v>0.4556659292786094</v>
      </c>
      <c r="D30" s="900">
        <f t="shared" si="4"/>
        <v>0.4955571330330574</v>
      </c>
      <c r="E30" s="900">
        <f t="shared" si="4"/>
        <v>0.4673422036360542</v>
      </c>
      <c r="F30" s="900">
        <f t="shared" si="4"/>
        <v>0.47757343015694925</v>
      </c>
      <c r="G30" s="900">
        <f t="shared" si="4"/>
        <v>0.5183681734748407</v>
      </c>
      <c r="H30" s="900">
        <f t="shared" si="4"/>
        <v>0.4077307456181363</v>
      </c>
      <c r="I30" s="900">
        <f t="shared" si="4"/>
        <v>0.4333889388197696</v>
      </c>
      <c r="J30" s="963">
        <f t="shared" si="4"/>
        <v>0.29465620770439865</v>
      </c>
    </row>
    <row r="31" spans="1:10" ht="18.75" customHeight="1" hidden="1" thickBot="1">
      <c r="A31" s="902" t="s">
        <v>422</v>
      </c>
      <c r="B31" s="903">
        <f aca="true" t="shared" si="5" ref="B31:J31">SUM(B28:B30)</f>
        <v>1</v>
      </c>
      <c r="C31" s="904">
        <f t="shared" si="5"/>
        <v>1</v>
      </c>
      <c r="D31" s="904">
        <f t="shared" si="5"/>
        <v>1</v>
      </c>
      <c r="E31" s="904">
        <f t="shared" si="5"/>
        <v>1</v>
      </c>
      <c r="F31" s="904">
        <f t="shared" si="5"/>
        <v>1</v>
      </c>
      <c r="G31" s="904">
        <f t="shared" si="5"/>
        <v>1</v>
      </c>
      <c r="H31" s="904">
        <f t="shared" si="5"/>
        <v>1</v>
      </c>
      <c r="I31" s="904">
        <f t="shared" si="5"/>
        <v>1</v>
      </c>
      <c r="J31" s="970">
        <f t="shared" si="5"/>
        <v>1</v>
      </c>
    </row>
    <row r="32" spans="1:10" ht="18.75" customHeight="1" hidden="1" thickTop="1">
      <c r="A32" s="888"/>
      <c r="B32" s="905"/>
      <c r="C32" s="905"/>
      <c r="D32" s="905"/>
      <c r="E32" s="905"/>
      <c r="F32" s="905"/>
      <c r="G32" s="905"/>
      <c r="H32" s="905"/>
      <c r="I32" s="905"/>
      <c r="J32" s="905"/>
    </row>
    <row r="33" spans="1:10" ht="18.75" customHeight="1" hidden="1">
      <c r="A33" s="888"/>
      <c r="B33" s="905"/>
      <c r="C33" s="905"/>
      <c r="D33" s="905"/>
      <c r="E33" s="905"/>
      <c r="F33" s="905"/>
      <c r="G33" s="905"/>
      <c r="H33" s="905"/>
      <c r="I33" s="905"/>
      <c r="J33" s="905"/>
    </row>
    <row r="34" spans="1:10" ht="18.75" customHeight="1" hidden="1">
      <c r="A34" s="888"/>
      <c r="B34" s="905"/>
      <c r="C34" s="905"/>
      <c r="D34" s="905"/>
      <c r="E34" s="905"/>
      <c r="F34" s="905"/>
      <c r="G34" s="905"/>
      <c r="H34" s="905"/>
      <c r="I34" s="905"/>
      <c r="J34" s="905"/>
    </row>
    <row r="35" spans="1:10" ht="18.75" customHeight="1" hidden="1">
      <c r="A35" s="1243" t="s">
        <v>186</v>
      </c>
      <c r="B35" s="1243"/>
      <c r="C35" s="1243"/>
      <c r="D35" s="1243"/>
      <c r="E35" s="1243"/>
      <c r="F35" s="1243"/>
      <c r="G35" s="1243"/>
      <c r="H35" s="1243"/>
      <c r="I35" s="1243"/>
      <c r="J35" s="1243"/>
    </row>
    <row r="36" spans="1:10" ht="18.75" customHeight="1" hidden="1">
      <c r="A36" s="869"/>
      <c r="B36" s="869"/>
      <c r="C36" s="869"/>
      <c r="D36" s="869"/>
      <c r="E36" s="869"/>
      <c r="F36" s="869"/>
      <c r="G36" s="869"/>
      <c r="H36" s="869"/>
      <c r="I36" s="869"/>
      <c r="J36" s="869"/>
    </row>
    <row r="37" spans="1:10" ht="18.75" customHeight="1" hidden="1" thickBot="1">
      <c r="A37" s="869"/>
      <c r="B37" s="869"/>
      <c r="C37" s="869"/>
      <c r="D37" s="869"/>
      <c r="E37" s="869"/>
      <c r="F37" s="869"/>
      <c r="G37" s="869"/>
      <c r="H37" s="869"/>
      <c r="I37" s="869"/>
      <c r="J37" s="869"/>
    </row>
    <row r="38" spans="1:10" ht="18.75" customHeight="1" hidden="1" thickTop="1">
      <c r="A38" s="854" t="s">
        <v>441</v>
      </c>
      <c r="B38" s="829">
        <v>1998</v>
      </c>
      <c r="C38" s="827">
        <v>1999</v>
      </c>
      <c r="D38" s="827">
        <v>2000</v>
      </c>
      <c r="E38" s="827">
        <v>2001</v>
      </c>
      <c r="F38" s="827">
        <v>2002</v>
      </c>
      <c r="G38" s="827">
        <v>2003</v>
      </c>
      <c r="H38" s="827">
        <v>2004</v>
      </c>
      <c r="I38" s="827">
        <v>2005</v>
      </c>
      <c r="J38" s="855">
        <v>2006</v>
      </c>
    </row>
    <row r="39" spans="1:10" ht="18.75" customHeight="1" hidden="1">
      <c r="A39" s="906" t="s">
        <v>187</v>
      </c>
      <c r="B39" s="907"/>
      <c r="C39" s="881"/>
      <c r="D39" s="881">
        <v>4984</v>
      </c>
      <c r="E39" s="881">
        <v>5827</v>
      </c>
      <c r="F39" s="881">
        <v>7210</v>
      </c>
      <c r="G39" s="881">
        <v>9063</v>
      </c>
      <c r="H39" s="881">
        <v>9222</v>
      </c>
      <c r="I39" s="881">
        <v>9994</v>
      </c>
      <c r="J39" s="944">
        <v>10181</v>
      </c>
    </row>
    <row r="40" spans="1:10" ht="18.75" customHeight="1" hidden="1">
      <c r="A40" s="908" t="s">
        <v>164</v>
      </c>
      <c r="B40" s="909"/>
      <c r="C40" s="866"/>
      <c r="D40" s="866">
        <v>6161</v>
      </c>
      <c r="E40" s="866">
        <v>6389</v>
      </c>
      <c r="F40" s="866">
        <v>7769</v>
      </c>
      <c r="G40" s="866">
        <v>9711</v>
      </c>
      <c r="H40" s="866">
        <v>10442</v>
      </c>
      <c r="I40" s="866">
        <v>11253</v>
      </c>
      <c r="J40" s="910">
        <v>9719</v>
      </c>
    </row>
    <row r="41" spans="1:10" ht="18.75" customHeight="1" hidden="1" thickBot="1">
      <c r="A41" s="911" t="s">
        <v>163</v>
      </c>
      <c r="B41" s="912"/>
      <c r="C41" s="913"/>
      <c r="D41" s="914">
        <f aca="true" t="shared" si="6" ref="D41:J41">SUM(D39/D40)</f>
        <v>0.8089595844830385</v>
      </c>
      <c r="E41" s="914">
        <f t="shared" si="6"/>
        <v>0.912036312411958</v>
      </c>
      <c r="F41" s="914">
        <f t="shared" si="6"/>
        <v>0.9280473677435963</v>
      </c>
      <c r="G41" s="914">
        <f t="shared" si="6"/>
        <v>0.933271547729379</v>
      </c>
      <c r="H41" s="914">
        <f t="shared" si="6"/>
        <v>0.8831641447998467</v>
      </c>
      <c r="I41" s="914">
        <f t="shared" si="6"/>
        <v>0.88811872389585</v>
      </c>
      <c r="J41" s="915">
        <f t="shared" si="6"/>
        <v>1.0475357547072743</v>
      </c>
    </row>
    <row r="42" spans="1:11" ht="13.5" hidden="1" thickTop="1">
      <c r="A42" s="888"/>
      <c r="B42" s="888"/>
      <c r="C42" s="888"/>
      <c r="D42" s="888"/>
      <c r="E42" s="888"/>
      <c r="F42" s="888"/>
      <c r="G42" s="888"/>
      <c r="H42" s="888"/>
      <c r="I42" s="888"/>
      <c r="J42" s="888" t="s">
        <v>206</v>
      </c>
      <c r="K42" s="867"/>
    </row>
    <row r="43" spans="1:11" ht="12.75" hidden="1">
      <c r="A43" s="888"/>
      <c r="B43" s="888"/>
      <c r="C43" s="888"/>
      <c r="D43" s="888"/>
      <c r="E43" s="888"/>
      <c r="F43" s="888"/>
      <c r="G43" s="888"/>
      <c r="H43" s="888"/>
      <c r="I43" s="888"/>
      <c r="J43" s="888"/>
      <c r="K43" s="867"/>
    </row>
    <row r="44" spans="1:10" ht="16.5" hidden="1">
      <c r="A44" s="1252" t="s">
        <v>428</v>
      </c>
      <c r="B44" s="1252"/>
      <c r="C44" s="1252"/>
      <c r="D44" s="1252"/>
      <c r="E44" s="1252"/>
      <c r="F44" s="1252"/>
      <c r="G44" s="1252"/>
      <c r="H44" s="1252"/>
      <c r="I44" s="1252"/>
      <c r="J44" s="1252"/>
    </row>
    <row r="45" spans="1:10" ht="16.5" hidden="1">
      <c r="A45" s="916"/>
      <c r="B45" s="916"/>
      <c r="C45" s="916"/>
      <c r="D45" s="916"/>
      <c r="E45" s="916"/>
      <c r="F45" s="916"/>
      <c r="G45" s="916"/>
      <c r="H45" s="916"/>
      <c r="I45" s="916"/>
      <c r="J45" s="916"/>
    </row>
    <row r="46" spans="1:11" ht="13.5" hidden="1" thickBot="1">
      <c r="A46" s="888"/>
      <c r="B46" s="888"/>
      <c r="C46" s="888"/>
      <c r="D46" s="888"/>
      <c r="E46" s="888"/>
      <c r="F46" s="888"/>
      <c r="G46" s="888"/>
      <c r="H46" s="888"/>
      <c r="I46" s="888"/>
      <c r="J46" s="888"/>
      <c r="K46" s="867"/>
    </row>
    <row r="47" spans="1:10" ht="13.5" customHeight="1" hidden="1" thickTop="1">
      <c r="A47" s="1249" t="s">
        <v>410</v>
      </c>
      <c r="B47" s="1250"/>
      <c r="C47" s="1250"/>
      <c r="D47" s="1250"/>
      <c r="E47" s="1250"/>
      <c r="F47" s="1250"/>
      <c r="G47" s="1250"/>
      <c r="H47" s="1250"/>
      <c r="I47" s="1250"/>
      <c r="J47" s="856" t="s">
        <v>407</v>
      </c>
    </row>
    <row r="48" spans="1:10" ht="13.5" customHeight="1" hidden="1">
      <c r="A48" s="852" t="s">
        <v>441</v>
      </c>
      <c r="B48" s="831">
        <v>1998</v>
      </c>
      <c r="C48" s="828">
        <v>1999</v>
      </c>
      <c r="D48" s="828">
        <v>2000</v>
      </c>
      <c r="E48" s="828">
        <v>2001</v>
      </c>
      <c r="F48" s="828">
        <v>2002</v>
      </c>
      <c r="G48" s="828">
        <v>2003</v>
      </c>
      <c r="H48" s="828">
        <v>2004</v>
      </c>
      <c r="I48" s="828">
        <v>2005</v>
      </c>
      <c r="J48" s="857">
        <v>2006</v>
      </c>
    </row>
    <row r="49" spans="1:10" ht="13.5" customHeight="1" hidden="1">
      <c r="A49" s="917" t="s">
        <v>423</v>
      </c>
      <c r="B49" s="918"/>
      <c r="C49" s="919"/>
      <c r="D49" s="919"/>
      <c r="E49" s="919"/>
      <c r="F49" s="919"/>
      <c r="G49" s="919"/>
      <c r="H49" s="919"/>
      <c r="I49" s="919"/>
      <c r="J49" s="971"/>
    </row>
    <row r="50" spans="1:10" ht="13.5" customHeight="1" hidden="1">
      <c r="A50" s="921" t="s">
        <v>415</v>
      </c>
      <c r="B50" s="883"/>
      <c r="C50" s="884"/>
      <c r="D50" s="884">
        <v>4366171</v>
      </c>
      <c r="E50" s="884">
        <v>5006508</v>
      </c>
      <c r="F50" s="884">
        <v>6262165</v>
      </c>
      <c r="G50" s="884">
        <v>7940378</v>
      </c>
      <c r="H50" s="884">
        <v>8100557</v>
      </c>
      <c r="I50" s="884">
        <v>8702221</v>
      </c>
      <c r="J50" s="947">
        <v>8891562</v>
      </c>
    </row>
    <row r="51" spans="1:10" ht="13.5" customHeight="1" hidden="1">
      <c r="A51" s="895" t="s">
        <v>416</v>
      </c>
      <c r="B51" s="883"/>
      <c r="C51" s="884"/>
      <c r="D51" s="884">
        <v>396936</v>
      </c>
      <c r="E51" s="884">
        <v>333327</v>
      </c>
      <c r="F51" s="884">
        <v>423093</v>
      </c>
      <c r="G51" s="884">
        <v>338858</v>
      </c>
      <c r="H51" s="884">
        <v>336738</v>
      </c>
      <c r="I51" s="884">
        <v>277090</v>
      </c>
      <c r="J51" s="947">
        <v>190939</v>
      </c>
    </row>
    <row r="52" spans="1:10" ht="13.5" customHeight="1" hidden="1">
      <c r="A52" s="922" t="s">
        <v>417</v>
      </c>
      <c r="B52" s="886"/>
      <c r="C52" s="887"/>
      <c r="D52" s="887">
        <v>2371052</v>
      </c>
      <c r="E52" s="887">
        <v>2858261</v>
      </c>
      <c r="F52" s="887">
        <v>2981394</v>
      </c>
      <c r="G52" s="887">
        <v>3198648</v>
      </c>
      <c r="H52" s="887">
        <v>3446249</v>
      </c>
      <c r="I52" s="887">
        <v>3564160</v>
      </c>
      <c r="J52" s="948">
        <v>3275668</v>
      </c>
    </row>
    <row r="53" spans="1:10" ht="13.5" customHeight="1" hidden="1" thickBot="1">
      <c r="A53" s="902" t="s">
        <v>418</v>
      </c>
      <c r="B53" s="923"/>
      <c r="C53" s="924"/>
      <c r="D53" s="925">
        <v>7134159</v>
      </c>
      <c r="E53" s="925">
        <v>8198096</v>
      </c>
      <c r="F53" s="925">
        <v>9666652</v>
      </c>
      <c r="G53" s="925">
        <v>11477884</v>
      </c>
      <c r="H53" s="925">
        <v>11883544</v>
      </c>
      <c r="I53" s="925">
        <v>12543471</v>
      </c>
      <c r="J53" s="952">
        <v>12358169</v>
      </c>
    </row>
    <row r="54" ht="15.75" customHeight="1" hidden="1" thickTop="1"/>
    <row r="55" ht="15.75" customHeight="1" hidden="1"/>
    <row r="56" spans="1:10" ht="15.75" customHeight="1" hidden="1">
      <c r="A56" s="1255" t="s">
        <v>427</v>
      </c>
      <c r="B56" s="1255"/>
      <c r="C56" s="1255"/>
      <c r="D56" s="1255"/>
      <c r="E56" s="1255"/>
      <c r="F56" s="1255"/>
      <c r="G56" s="1255"/>
      <c r="H56" s="1255"/>
      <c r="I56" s="1255"/>
      <c r="J56" s="1255"/>
    </row>
    <row r="57" spans="1:10" ht="15.75" customHeight="1" hidden="1">
      <c r="A57" s="870"/>
      <c r="B57" s="870"/>
      <c r="C57" s="870"/>
      <c r="D57" s="870"/>
      <c r="E57" s="870"/>
      <c r="F57" s="870"/>
      <c r="G57" s="870"/>
      <c r="H57" s="870"/>
      <c r="I57" s="870"/>
      <c r="J57" s="870"/>
    </row>
    <row r="58" ht="15.75" customHeight="1" hidden="1" thickBot="1"/>
    <row r="59" spans="1:10" ht="12.75" customHeight="1" hidden="1" thickTop="1">
      <c r="A59" s="1249" t="s">
        <v>410</v>
      </c>
      <c r="B59" s="1250"/>
      <c r="C59" s="1250"/>
      <c r="D59" s="1250"/>
      <c r="E59" s="1250"/>
      <c r="F59" s="1250"/>
      <c r="G59" s="1250"/>
      <c r="H59" s="1250"/>
      <c r="I59" s="1250"/>
      <c r="J59" s="830" t="s">
        <v>407</v>
      </c>
    </row>
    <row r="60" spans="1:10" ht="12.75" customHeight="1" hidden="1">
      <c r="A60" s="852" t="s">
        <v>441</v>
      </c>
      <c r="B60" s="831">
        <v>1998</v>
      </c>
      <c r="C60" s="828">
        <v>1999</v>
      </c>
      <c r="D60" s="828">
        <v>2000</v>
      </c>
      <c r="E60" s="828">
        <v>2001</v>
      </c>
      <c r="F60" s="828">
        <v>2002</v>
      </c>
      <c r="G60" s="828">
        <v>2003</v>
      </c>
      <c r="H60" s="828">
        <v>2004</v>
      </c>
      <c r="I60" s="828">
        <v>2005</v>
      </c>
      <c r="J60" s="857">
        <v>2006</v>
      </c>
    </row>
    <row r="61" spans="1:10" ht="12.75" customHeight="1" hidden="1">
      <c r="A61" s="917" t="s">
        <v>423</v>
      </c>
      <c r="B61" s="918"/>
      <c r="C61" s="919"/>
      <c r="D61" s="919"/>
      <c r="E61" s="919"/>
      <c r="F61" s="919"/>
      <c r="G61" s="919"/>
      <c r="H61" s="919"/>
      <c r="I61" s="919"/>
      <c r="J61" s="971"/>
    </row>
    <row r="62" spans="1:10" ht="12.75" customHeight="1" hidden="1">
      <c r="A62" s="921" t="s">
        <v>424</v>
      </c>
      <c r="B62" s="883"/>
      <c r="C62" s="884"/>
      <c r="D62" s="897">
        <f aca="true" t="shared" si="7" ref="D62:J64">D50/D$53</f>
        <v>0.6120092080930633</v>
      </c>
      <c r="E62" s="897">
        <f t="shared" si="7"/>
        <v>0.6106915556978109</v>
      </c>
      <c r="F62" s="897">
        <f t="shared" si="7"/>
        <v>0.6478111552996839</v>
      </c>
      <c r="G62" s="897">
        <f t="shared" si="7"/>
        <v>0.6917980700972409</v>
      </c>
      <c r="H62" s="897">
        <f t="shared" si="7"/>
        <v>0.6816617164037934</v>
      </c>
      <c r="I62" s="897">
        <f t="shared" si="7"/>
        <v>0.6937649873786929</v>
      </c>
      <c r="J62" s="927">
        <f t="shared" si="7"/>
        <v>0.7194886232742084</v>
      </c>
    </row>
    <row r="63" spans="1:10" ht="12.75" customHeight="1" hidden="1">
      <c r="A63" s="895" t="s">
        <v>416</v>
      </c>
      <c r="B63" s="883"/>
      <c r="C63" s="884"/>
      <c r="D63" s="897">
        <f t="shared" si="7"/>
        <v>0.055638793584499587</v>
      </c>
      <c r="E63" s="897">
        <f t="shared" si="7"/>
        <v>0.04065907498521608</v>
      </c>
      <c r="F63" s="897">
        <f t="shared" si="7"/>
        <v>0.04376830778639802</v>
      </c>
      <c r="G63" s="897">
        <f t="shared" si="7"/>
        <v>0.02952268902525936</v>
      </c>
      <c r="H63" s="897">
        <f t="shared" si="7"/>
        <v>0.028336496250613453</v>
      </c>
      <c r="I63" s="897">
        <f t="shared" si="7"/>
        <v>0.022090376738623622</v>
      </c>
      <c r="J63" s="927">
        <f t="shared" si="7"/>
        <v>0.01545042797197546</v>
      </c>
    </row>
    <row r="64" spans="1:10" ht="12.75" customHeight="1" hidden="1">
      <c r="A64" s="928" t="s">
        <v>417</v>
      </c>
      <c r="B64" s="929"/>
      <c r="C64" s="930"/>
      <c r="D64" s="901">
        <f t="shared" si="7"/>
        <v>0.33235199832243717</v>
      </c>
      <c r="E64" s="901">
        <f t="shared" si="7"/>
        <v>0.3486493693169731</v>
      </c>
      <c r="F64" s="901">
        <f t="shared" si="7"/>
        <v>0.3084205369139181</v>
      </c>
      <c r="G64" s="901">
        <f t="shared" si="7"/>
        <v>0.27867924087749973</v>
      </c>
      <c r="H64" s="901">
        <f t="shared" si="7"/>
        <v>0.2900017873455932</v>
      </c>
      <c r="I64" s="901">
        <f t="shared" si="7"/>
        <v>0.2841446358826835</v>
      </c>
      <c r="J64" s="931">
        <f t="shared" si="7"/>
        <v>0.2650609487538162</v>
      </c>
    </row>
    <row r="65" spans="1:10" ht="12.75" customHeight="1" hidden="1" thickBot="1">
      <c r="A65" s="932" t="s">
        <v>418</v>
      </c>
      <c r="B65" s="933"/>
      <c r="C65" s="934"/>
      <c r="D65" s="935">
        <f aca="true" t="shared" si="8" ref="D65:J65">SUM(D62:D64)</f>
        <v>1</v>
      </c>
      <c r="E65" s="935">
        <f t="shared" si="8"/>
        <v>1</v>
      </c>
      <c r="F65" s="935">
        <f t="shared" si="8"/>
        <v>1</v>
      </c>
      <c r="G65" s="935">
        <f t="shared" si="8"/>
        <v>1</v>
      </c>
      <c r="H65" s="935">
        <f t="shared" si="8"/>
        <v>1</v>
      </c>
      <c r="I65" s="935">
        <f t="shared" si="8"/>
        <v>1</v>
      </c>
      <c r="J65" s="972">
        <f t="shared" si="8"/>
        <v>1</v>
      </c>
    </row>
    <row r="66" spans="1:10" ht="13.5" hidden="1" thickTop="1">
      <c r="A66" s="888"/>
      <c r="B66" s="936"/>
      <c r="C66" s="936"/>
      <c r="D66" s="936"/>
      <c r="E66" s="936"/>
      <c r="F66" s="936"/>
      <c r="G66" s="936"/>
      <c r="H66" s="936"/>
      <c r="I66" s="936"/>
      <c r="J66" s="936"/>
    </row>
    <row r="67" spans="1:10" ht="12.75" hidden="1">
      <c r="A67" s="888"/>
      <c r="B67" s="936"/>
      <c r="C67" s="936"/>
      <c r="D67" s="936"/>
      <c r="E67" s="936"/>
      <c r="F67" s="936"/>
      <c r="G67" s="936"/>
      <c r="H67" s="936"/>
      <c r="I67" s="936"/>
      <c r="J67" s="936"/>
    </row>
    <row r="68" spans="1:10" ht="16.5" hidden="1">
      <c r="A68" s="1256" t="s">
        <v>426</v>
      </c>
      <c r="B68" s="1256"/>
      <c r="C68" s="1256"/>
      <c r="D68" s="1256"/>
      <c r="E68" s="1256"/>
      <c r="F68" s="1256"/>
      <c r="G68" s="1256"/>
      <c r="H68" s="1256"/>
      <c r="I68" s="1256"/>
      <c r="J68" s="1256"/>
    </row>
    <row r="69" spans="1:10" ht="12.75" hidden="1">
      <c r="A69" s="888"/>
      <c r="B69" s="936"/>
      <c r="C69" s="936"/>
      <c r="D69" s="936"/>
      <c r="E69" s="936"/>
      <c r="F69" s="936"/>
      <c r="G69" s="936"/>
      <c r="H69" s="936"/>
      <c r="I69" s="936"/>
      <c r="J69" s="936"/>
    </row>
    <row r="70" spans="1:10" ht="13.5" hidden="1" thickBot="1">
      <c r="A70" s="888"/>
      <c r="B70" s="936"/>
      <c r="C70" s="936"/>
      <c r="D70" s="936"/>
      <c r="E70" s="936"/>
      <c r="F70" s="936"/>
      <c r="G70" s="936"/>
      <c r="H70" s="936"/>
      <c r="I70" s="936"/>
      <c r="J70" s="936"/>
    </row>
    <row r="71" spans="1:10" ht="13.5" hidden="1" thickTop="1">
      <c r="A71" s="1249" t="s">
        <v>410</v>
      </c>
      <c r="B71" s="1250"/>
      <c r="C71" s="1250"/>
      <c r="D71" s="1250"/>
      <c r="E71" s="1250"/>
      <c r="F71" s="1250"/>
      <c r="G71" s="1250"/>
      <c r="H71" s="1250"/>
      <c r="I71" s="1250"/>
      <c r="J71" s="858" t="s">
        <v>407</v>
      </c>
    </row>
    <row r="72" spans="1:10" ht="12.75" hidden="1">
      <c r="A72" s="852" t="s">
        <v>207</v>
      </c>
      <c r="B72" s="828">
        <v>1998</v>
      </c>
      <c r="C72" s="828">
        <v>1999</v>
      </c>
      <c r="D72" s="828">
        <v>2000</v>
      </c>
      <c r="E72" s="828">
        <v>2001</v>
      </c>
      <c r="F72" s="828">
        <v>2002</v>
      </c>
      <c r="G72" s="828">
        <v>2003</v>
      </c>
      <c r="H72" s="828">
        <v>2004</v>
      </c>
      <c r="I72" s="828">
        <v>2005</v>
      </c>
      <c r="J72" s="859">
        <v>2006</v>
      </c>
    </row>
    <row r="73" spans="1:10" ht="12.75" hidden="1">
      <c r="A73" s="1253" t="s">
        <v>429</v>
      </c>
      <c r="B73" s="1254"/>
      <c r="C73" s="937"/>
      <c r="D73" s="937"/>
      <c r="E73" s="937"/>
      <c r="F73" s="937"/>
      <c r="G73" s="937"/>
      <c r="H73" s="937"/>
      <c r="I73" s="937"/>
      <c r="J73" s="938"/>
    </row>
    <row r="74" spans="1:10" ht="12.75" hidden="1">
      <c r="A74" s="939" t="s">
        <v>419</v>
      </c>
      <c r="B74" s="940"/>
      <c r="C74" s="940"/>
      <c r="D74" s="897">
        <f aca="true" t="shared" si="9" ref="D74:J77">D50/D16</f>
        <v>0.8761004502329822</v>
      </c>
      <c r="E74" s="897">
        <f t="shared" si="9"/>
        <v>0.8591229392408087</v>
      </c>
      <c r="F74" s="897">
        <f t="shared" si="9"/>
        <v>0.8685408828287112</v>
      </c>
      <c r="G74" s="897">
        <f t="shared" si="9"/>
        <v>0.8761545048086896</v>
      </c>
      <c r="H74" s="897">
        <f t="shared" si="9"/>
        <v>0.8784318705267442</v>
      </c>
      <c r="I74" s="897">
        <f t="shared" si="9"/>
        <v>0.8707789631469325</v>
      </c>
      <c r="J74" s="927">
        <f t="shared" si="9"/>
        <v>0.8733265450425227</v>
      </c>
    </row>
    <row r="75" spans="1:10" ht="12.75" hidden="1">
      <c r="A75" s="939" t="s">
        <v>420</v>
      </c>
      <c r="B75" s="940"/>
      <c r="C75" s="940"/>
      <c r="D75" s="897">
        <f t="shared" si="9"/>
        <v>0.18013478251004061</v>
      </c>
      <c r="E75" s="897">
        <f t="shared" si="9"/>
        <v>0.06501940768664939</v>
      </c>
      <c r="F75" s="897">
        <f t="shared" si="9"/>
        <v>0.13969629503183417</v>
      </c>
      <c r="G75" s="897">
        <f t="shared" si="9"/>
        <v>0.1910900078385374</v>
      </c>
      <c r="H75" s="897">
        <f t="shared" si="9"/>
        <v>0.1286992560975237</v>
      </c>
      <c r="I75" s="897">
        <f t="shared" si="9"/>
        <v>0.06490055522309053</v>
      </c>
      <c r="J75" s="927">
        <f t="shared" si="9"/>
        <v>0.02820188484224202</v>
      </c>
    </row>
    <row r="76" spans="1:10" ht="12.75" hidden="1">
      <c r="A76" s="939" t="s">
        <v>421</v>
      </c>
      <c r="B76" s="940"/>
      <c r="C76" s="940"/>
      <c r="D76" s="897">
        <f t="shared" si="9"/>
        <v>0.33581499563067674</v>
      </c>
      <c r="E76" s="897">
        <f t="shared" si="9"/>
        <v>0.29739989266280115</v>
      </c>
      <c r="F76" s="897">
        <f t="shared" si="9"/>
        <v>0.3185385106611894</v>
      </c>
      <c r="G76" s="897">
        <f t="shared" si="9"/>
        <v>0.2742662057161172</v>
      </c>
      <c r="H76" s="897">
        <f t="shared" si="9"/>
        <v>0.4228740152262912</v>
      </c>
      <c r="I76" s="897">
        <f t="shared" si="9"/>
        <v>0.3267019361812201</v>
      </c>
      <c r="J76" s="927">
        <f t="shared" si="9"/>
        <v>0.4625642921505362</v>
      </c>
    </row>
    <row r="77" spans="1:10" ht="13.5" hidden="1" thickBot="1">
      <c r="A77" s="941" t="s">
        <v>430</v>
      </c>
      <c r="B77" s="942"/>
      <c r="C77" s="942"/>
      <c r="D77" s="914">
        <f t="shared" si="9"/>
        <v>0.5007206735757187</v>
      </c>
      <c r="E77" s="914">
        <f t="shared" si="9"/>
        <v>0.39864555461679196</v>
      </c>
      <c r="F77" s="914">
        <f t="shared" si="9"/>
        <v>0.4932405951164311</v>
      </c>
      <c r="G77" s="914">
        <f t="shared" si="9"/>
        <v>0.5101595355838984</v>
      </c>
      <c r="H77" s="914">
        <f t="shared" si="9"/>
        <v>0.5945437064678522</v>
      </c>
      <c r="I77" s="914">
        <f t="shared" si="9"/>
        <v>0.49829906164549864</v>
      </c>
      <c r="J77" s="915">
        <f t="shared" si="9"/>
        <v>0.5142116965375277</v>
      </c>
    </row>
    <row r="78" ht="13.5" hidden="1" thickTop="1"/>
    <row r="79" ht="12.75" hidden="1"/>
    <row r="80" spans="1:10" ht="15.75" hidden="1">
      <c r="A80" s="1243" t="s">
        <v>188</v>
      </c>
      <c r="B80" s="1243"/>
      <c r="C80" s="1243"/>
      <c r="D80" s="1243"/>
      <c r="E80" s="1243"/>
      <c r="F80" s="1243"/>
      <c r="G80" s="1243"/>
      <c r="H80" s="1243"/>
      <c r="I80" s="1243"/>
      <c r="J80" s="1243"/>
    </row>
    <row r="81" spans="1:10" ht="15.75" hidden="1">
      <c r="A81" s="869"/>
      <c r="B81" s="869"/>
      <c r="C81" s="869"/>
      <c r="D81" s="869"/>
      <c r="E81" s="869"/>
      <c r="F81" s="869"/>
      <c r="G81" s="869"/>
      <c r="H81" s="869"/>
      <c r="I81" s="869"/>
      <c r="J81" s="869"/>
    </row>
    <row r="82" spans="1:10" ht="16.5" hidden="1" thickBot="1">
      <c r="A82" s="869"/>
      <c r="B82" s="869"/>
      <c r="C82" s="869"/>
      <c r="D82" s="869"/>
      <c r="E82" s="869"/>
      <c r="F82" s="869"/>
      <c r="G82" s="869"/>
      <c r="H82" s="869"/>
      <c r="I82" s="869"/>
      <c r="J82" s="869"/>
    </row>
    <row r="83" spans="1:10" ht="13.5" hidden="1" thickTop="1">
      <c r="A83" s="860" t="s">
        <v>441</v>
      </c>
      <c r="B83" s="861">
        <v>1998</v>
      </c>
      <c r="C83" s="861">
        <v>1999</v>
      </c>
      <c r="D83" s="861">
        <v>2000</v>
      </c>
      <c r="E83" s="861">
        <v>2001</v>
      </c>
      <c r="F83" s="861">
        <v>2002</v>
      </c>
      <c r="G83" s="861">
        <v>2003</v>
      </c>
      <c r="H83" s="861">
        <v>2004</v>
      </c>
      <c r="I83" s="861">
        <v>2005</v>
      </c>
      <c r="J83" s="862">
        <v>2006</v>
      </c>
    </row>
    <row r="84" spans="1:10" ht="12.75" hidden="1">
      <c r="A84" s="943" t="s">
        <v>165</v>
      </c>
      <c r="B84" s="881"/>
      <c r="C84" s="881"/>
      <c r="D84" s="881">
        <v>4366</v>
      </c>
      <c r="E84" s="881">
        <v>5007</v>
      </c>
      <c r="F84" s="881">
        <v>6262</v>
      </c>
      <c r="G84" s="881">
        <v>7940</v>
      </c>
      <c r="H84" s="881">
        <v>8101</v>
      </c>
      <c r="I84" s="881">
        <v>8702</v>
      </c>
      <c r="J84" s="944">
        <v>8892</v>
      </c>
    </row>
    <row r="85" spans="1:10" ht="12.75" hidden="1">
      <c r="A85" s="945" t="s">
        <v>164</v>
      </c>
      <c r="B85" s="866"/>
      <c r="C85" s="866"/>
      <c r="D85" s="866">
        <v>6161</v>
      </c>
      <c r="E85" s="866">
        <v>6389</v>
      </c>
      <c r="F85" s="866">
        <v>7769</v>
      </c>
      <c r="G85" s="866">
        <v>9711</v>
      </c>
      <c r="H85" s="866">
        <v>10442</v>
      </c>
      <c r="I85" s="866">
        <v>11253</v>
      </c>
      <c r="J85" s="910">
        <v>9719</v>
      </c>
    </row>
    <row r="86" spans="1:10" ht="13.5" hidden="1" thickBot="1">
      <c r="A86" s="946" t="s">
        <v>163</v>
      </c>
      <c r="B86" s="913"/>
      <c r="C86" s="913"/>
      <c r="D86" s="914">
        <f aca="true" t="shared" si="10" ref="D86:J86">SUM(D84/D85)</f>
        <v>0.7086511929881513</v>
      </c>
      <c r="E86" s="914">
        <f t="shared" si="10"/>
        <v>0.7836907184222883</v>
      </c>
      <c r="F86" s="914">
        <f t="shared" si="10"/>
        <v>0.8060239413051873</v>
      </c>
      <c r="G86" s="914">
        <f t="shared" si="10"/>
        <v>0.8176294923282875</v>
      </c>
      <c r="H86" s="914">
        <f t="shared" si="10"/>
        <v>0.7758092319479027</v>
      </c>
      <c r="I86" s="914">
        <f t="shared" si="10"/>
        <v>0.7733048964720519</v>
      </c>
      <c r="J86" s="915">
        <f t="shared" si="10"/>
        <v>0.9149089412490997</v>
      </c>
    </row>
    <row r="87" ht="13.5" hidden="1" thickTop="1"/>
    <row r="88" ht="12.75" hidden="1"/>
    <row r="89" ht="12.75" hidden="1"/>
    <row r="90" ht="12.75" hidden="1">
      <c r="K90" s="888"/>
    </row>
    <row r="91" ht="12.75" hidden="1"/>
    <row r="92" ht="12.75" hidden="1"/>
    <row r="93" ht="12.75" hidden="1"/>
    <row r="94" spans="1:10" ht="12.75" hidden="1">
      <c r="A94" s="867"/>
      <c r="B94" s="867"/>
      <c r="C94" s="867"/>
      <c r="D94" s="905"/>
      <c r="E94" s="905"/>
      <c r="F94" s="905"/>
      <c r="G94" s="905"/>
      <c r="H94" s="905"/>
      <c r="I94" s="905"/>
      <c r="J94" s="905"/>
    </row>
    <row r="95" ht="12.75" hidden="1">
      <c r="E95" s="876" t="s">
        <v>208</v>
      </c>
    </row>
    <row r="96" ht="12.75" hidden="1"/>
    <row r="97" spans="1:10" ht="12.75" hidden="1">
      <c r="A97" s="852"/>
      <c r="B97" s="831">
        <v>1998</v>
      </c>
      <c r="C97" s="828">
        <v>1999</v>
      </c>
      <c r="D97" s="828">
        <v>2000</v>
      </c>
      <c r="E97" s="828">
        <v>2001</v>
      </c>
      <c r="F97" s="828">
        <v>2002</v>
      </c>
      <c r="G97" s="828">
        <v>2003</v>
      </c>
      <c r="H97" s="828">
        <v>2004</v>
      </c>
      <c r="I97" s="853">
        <v>2005</v>
      </c>
      <c r="J97" s="832" t="s">
        <v>396</v>
      </c>
    </row>
    <row r="98" spans="1:10" ht="12.75" hidden="1">
      <c r="A98" s="890" t="s">
        <v>411</v>
      </c>
      <c r="B98" s="879">
        <v>4208240</v>
      </c>
      <c r="C98" s="880">
        <v>4777712</v>
      </c>
      <c r="D98" s="880">
        <v>4983642</v>
      </c>
      <c r="E98" s="880">
        <v>5827464</v>
      </c>
      <c r="F98" s="880">
        <v>7209983</v>
      </c>
      <c r="G98" s="880">
        <v>9062760</v>
      </c>
      <c r="H98" s="880">
        <v>9221611</v>
      </c>
      <c r="I98" s="880">
        <v>9993605</v>
      </c>
      <c r="J98" s="944">
        <v>10181257</v>
      </c>
    </row>
    <row r="99" spans="1:10" ht="12.75" hidden="1">
      <c r="A99" s="895" t="s">
        <v>412</v>
      </c>
      <c r="B99" s="883">
        <v>2425962</v>
      </c>
      <c r="C99" s="884">
        <v>1799580</v>
      </c>
      <c r="D99" s="884">
        <v>2203550</v>
      </c>
      <c r="E99" s="884">
        <v>5126577</v>
      </c>
      <c r="F99" s="884">
        <v>3028663</v>
      </c>
      <c r="G99" s="884">
        <v>1773290</v>
      </c>
      <c r="H99" s="884">
        <v>2616472</v>
      </c>
      <c r="I99" s="884">
        <v>4269455</v>
      </c>
      <c r="J99" s="947">
        <v>6770434</v>
      </c>
    </row>
    <row r="100" spans="1:10" ht="12.75" hidden="1">
      <c r="A100" s="898" t="s">
        <v>413</v>
      </c>
      <c r="B100" s="886">
        <v>4913636</v>
      </c>
      <c r="C100" s="887">
        <v>5505898</v>
      </c>
      <c r="D100" s="887">
        <v>7060590</v>
      </c>
      <c r="E100" s="887">
        <v>9610834</v>
      </c>
      <c r="F100" s="887">
        <v>9359603</v>
      </c>
      <c r="G100" s="887">
        <v>11662567</v>
      </c>
      <c r="H100" s="887">
        <v>8149588</v>
      </c>
      <c r="I100" s="887">
        <v>10909516</v>
      </c>
      <c r="J100" s="948">
        <v>7081541</v>
      </c>
    </row>
    <row r="101" spans="1:10" ht="13.5" hidden="1" thickBot="1">
      <c r="A101" s="902" t="s">
        <v>414</v>
      </c>
      <c r="B101" s="949">
        <v>11547838</v>
      </c>
      <c r="C101" s="950">
        <v>12083190</v>
      </c>
      <c r="D101" s="950">
        <v>14247782</v>
      </c>
      <c r="E101" s="950">
        <v>20564875</v>
      </c>
      <c r="F101" s="950">
        <v>19598249</v>
      </c>
      <c r="G101" s="950">
        <v>22498617</v>
      </c>
      <c r="H101" s="950">
        <v>19987671</v>
      </c>
      <c r="I101" s="950">
        <v>25172576</v>
      </c>
      <c r="J101" s="926">
        <v>24033232</v>
      </c>
    </row>
    <row r="102" ht="13.5" hidden="1" thickTop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3.5" hidden="1" thickBot="1"/>
    <row r="122" spans="1:8" ht="13.5" hidden="1" thickTop="1">
      <c r="A122" s="854"/>
      <c r="B122" s="827">
        <v>2000</v>
      </c>
      <c r="C122" s="827">
        <v>2001</v>
      </c>
      <c r="D122" s="827">
        <v>2002</v>
      </c>
      <c r="E122" s="827">
        <v>2003</v>
      </c>
      <c r="F122" s="827">
        <v>2004</v>
      </c>
      <c r="G122" s="827">
        <v>2005</v>
      </c>
      <c r="H122" s="855">
        <v>2006</v>
      </c>
    </row>
    <row r="123" spans="1:8" ht="12.75" hidden="1">
      <c r="A123" s="906" t="s">
        <v>187</v>
      </c>
      <c r="B123" s="881">
        <v>4984</v>
      </c>
      <c r="C123" s="881">
        <v>5827</v>
      </c>
      <c r="D123" s="881">
        <v>7210</v>
      </c>
      <c r="E123" s="881">
        <v>9063</v>
      </c>
      <c r="F123" s="881">
        <v>9222</v>
      </c>
      <c r="G123" s="881">
        <v>9994</v>
      </c>
      <c r="H123" s="944">
        <v>10181</v>
      </c>
    </row>
    <row r="124" spans="1:8" ht="12.75" hidden="1">
      <c r="A124" s="908" t="s">
        <v>164</v>
      </c>
      <c r="B124" s="866">
        <v>6161</v>
      </c>
      <c r="C124" s="866">
        <v>6389</v>
      </c>
      <c r="D124" s="866">
        <v>7769</v>
      </c>
      <c r="E124" s="866">
        <v>9711</v>
      </c>
      <c r="F124" s="866">
        <v>10442</v>
      </c>
      <c r="G124" s="866">
        <v>11253</v>
      </c>
      <c r="H124" s="910">
        <v>9719</v>
      </c>
    </row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3.5" hidden="1" thickBot="1"/>
    <row r="145" spans="1:8" ht="13.5" hidden="1" thickTop="1">
      <c r="A145" s="860"/>
      <c r="B145" s="861">
        <v>2000</v>
      </c>
      <c r="C145" s="861">
        <v>2001</v>
      </c>
      <c r="D145" s="861">
        <v>2002</v>
      </c>
      <c r="E145" s="861">
        <v>2003</v>
      </c>
      <c r="F145" s="861">
        <v>2004</v>
      </c>
      <c r="G145" s="861">
        <v>2005</v>
      </c>
      <c r="H145" s="862">
        <v>2006</v>
      </c>
    </row>
    <row r="146" spans="1:8" ht="12.75" hidden="1">
      <c r="A146" s="943" t="s">
        <v>165</v>
      </c>
      <c r="B146" s="881">
        <v>4366</v>
      </c>
      <c r="C146" s="881">
        <v>5007</v>
      </c>
      <c r="D146" s="881">
        <v>6262</v>
      </c>
      <c r="E146" s="881">
        <v>7940</v>
      </c>
      <c r="F146" s="881">
        <v>8101</v>
      </c>
      <c r="G146" s="881">
        <v>8702</v>
      </c>
      <c r="H146" s="944">
        <v>8892</v>
      </c>
    </row>
    <row r="147" spans="1:8" ht="12.75" hidden="1">
      <c r="A147" s="945" t="s">
        <v>164</v>
      </c>
      <c r="B147" s="866">
        <v>6161</v>
      </c>
      <c r="C147" s="866">
        <v>6389</v>
      </c>
      <c r="D147" s="866">
        <v>7769</v>
      </c>
      <c r="E147" s="866">
        <v>9711</v>
      </c>
      <c r="F147" s="866">
        <v>10442</v>
      </c>
      <c r="G147" s="866">
        <v>11253</v>
      </c>
      <c r="H147" s="910">
        <v>9719</v>
      </c>
    </row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92" ht="12.75">
      <c r="I192" s="966"/>
    </row>
  </sheetData>
  <mergeCells count="15">
    <mergeCell ref="A73:B73"/>
    <mergeCell ref="A80:J80"/>
    <mergeCell ref="A56:J56"/>
    <mergeCell ref="A59:I59"/>
    <mergeCell ref="A68:J68"/>
    <mergeCell ref="A71:I71"/>
    <mergeCell ref="A26:I26"/>
    <mergeCell ref="A35:J35"/>
    <mergeCell ref="A44:J44"/>
    <mergeCell ref="A47:I47"/>
    <mergeCell ref="A14:I14"/>
    <mergeCell ref="A23:J23"/>
    <mergeCell ref="A2:I2"/>
    <mergeCell ref="A5:A6"/>
    <mergeCell ref="B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M38"/>
  <sheetViews>
    <sheetView workbookViewId="0" topLeftCell="A1">
      <selection activeCell="F28" sqref="F28"/>
    </sheetView>
  </sheetViews>
  <sheetFormatPr defaultColWidth="12.7109375" defaultRowHeight="12.75"/>
  <cols>
    <col min="1" max="1" width="8.28125" style="876" customWidth="1"/>
    <col min="2" max="2" width="12.57421875" style="876" customWidth="1"/>
    <col min="3" max="10" width="11.7109375" style="876" customWidth="1"/>
    <col min="11" max="11" width="13.28125" style="876" customWidth="1"/>
    <col min="12" max="12" width="10.28125" style="876" hidden="1" customWidth="1"/>
    <col min="13" max="16384" width="12.7109375" style="876" customWidth="1"/>
  </cols>
  <sheetData>
    <row r="1" ht="12.75">
      <c r="K1" s="878"/>
    </row>
    <row r="2" spans="1:11" ht="15.75">
      <c r="A2" s="1198" t="s">
        <v>185</v>
      </c>
      <c r="B2" s="1198"/>
      <c r="C2" s="1198"/>
      <c r="D2" s="1198"/>
      <c r="E2" s="1198"/>
      <c r="F2" s="1198"/>
      <c r="G2" s="1198"/>
      <c r="H2" s="1198"/>
      <c r="I2" s="1198"/>
      <c r="J2" s="1198"/>
      <c r="K2" s="1198"/>
    </row>
    <row r="3" spans="2:11" ht="12.75">
      <c r="B3" s="966"/>
      <c r="C3" s="966"/>
      <c r="D3" s="966"/>
      <c r="E3" s="966"/>
      <c r="F3" s="966"/>
      <c r="G3" s="966"/>
      <c r="H3" s="966"/>
      <c r="K3" s="1057" t="s">
        <v>131</v>
      </c>
    </row>
    <row r="4" spans="1:12" ht="24.75" customHeight="1">
      <c r="A4" s="1263" t="s">
        <v>166</v>
      </c>
      <c r="B4" s="1265" t="s">
        <v>448</v>
      </c>
      <c r="C4" s="1265"/>
      <c r="D4" s="1265"/>
      <c r="E4" s="1265" t="s">
        <v>449</v>
      </c>
      <c r="F4" s="1265"/>
      <c r="G4" s="1265"/>
      <c r="H4" s="1265" t="s">
        <v>575</v>
      </c>
      <c r="I4" s="1265"/>
      <c r="J4" s="1265"/>
      <c r="K4" s="1261" t="s">
        <v>190</v>
      </c>
      <c r="L4" s="1058" t="s">
        <v>189</v>
      </c>
    </row>
    <row r="5" spans="1:12" ht="19.5" customHeight="1">
      <c r="A5" s="1264"/>
      <c r="B5" s="1059" t="s">
        <v>445</v>
      </c>
      <c r="C5" s="1059" t="s">
        <v>446</v>
      </c>
      <c r="D5" s="1059" t="s">
        <v>447</v>
      </c>
      <c r="E5" s="1059" t="s">
        <v>445</v>
      </c>
      <c r="F5" s="1059" t="s">
        <v>446</v>
      </c>
      <c r="G5" s="1059" t="s">
        <v>447</v>
      </c>
      <c r="H5" s="1059" t="s">
        <v>445</v>
      </c>
      <c r="I5" s="1059" t="s">
        <v>446</v>
      </c>
      <c r="J5" s="1059" t="s">
        <v>451</v>
      </c>
      <c r="K5" s="1262"/>
      <c r="L5" s="966"/>
    </row>
    <row r="6" spans="1:12" ht="16.5" customHeight="1">
      <c r="A6" s="994" t="s">
        <v>2</v>
      </c>
      <c r="B6" s="1075"/>
      <c r="C6" s="1075"/>
      <c r="D6" s="1075">
        <f aca="true" t="shared" si="0" ref="D6:D15">B6-C6</f>
        <v>0</v>
      </c>
      <c r="E6" s="1075"/>
      <c r="F6" s="1075"/>
      <c r="G6" s="1075">
        <f>E6-F6</f>
        <v>0</v>
      </c>
      <c r="H6" s="1075">
        <v>8522714</v>
      </c>
      <c r="I6" s="1075">
        <v>9640714</v>
      </c>
      <c r="J6" s="1075">
        <f aca="true" t="shared" si="1" ref="J6:J13">H6-I6</f>
        <v>-1118000</v>
      </c>
      <c r="K6" s="1076">
        <v>890000</v>
      </c>
      <c r="L6" s="883">
        <v>890</v>
      </c>
    </row>
    <row r="7" spans="1:12" ht="16.5" customHeight="1">
      <c r="A7" s="1018" t="s">
        <v>3</v>
      </c>
      <c r="B7" s="1077"/>
      <c r="C7" s="1077"/>
      <c r="D7" s="1077">
        <f t="shared" si="0"/>
        <v>0</v>
      </c>
      <c r="E7" s="1077"/>
      <c r="F7" s="1077"/>
      <c r="G7" s="1077">
        <f aca="true" t="shared" si="2" ref="G7:G15">E7-F7</f>
        <v>0</v>
      </c>
      <c r="H7" s="1077">
        <v>8321182</v>
      </c>
      <c r="I7" s="1077">
        <v>9196620</v>
      </c>
      <c r="J7" s="1077">
        <f t="shared" si="1"/>
        <v>-875438</v>
      </c>
      <c r="K7" s="1078">
        <v>875438</v>
      </c>
      <c r="L7" s="883">
        <v>846</v>
      </c>
    </row>
    <row r="8" spans="1:12" ht="16.5" customHeight="1">
      <c r="A8" s="1018" t="s">
        <v>4</v>
      </c>
      <c r="B8" s="1077">
        <v>8192702</v>
      </c>
      <c r="C8" s="1077">
        <v>8399962</v>
      </c>
      <c r="D8" s="1077">
        <f t="shared" si="0"/>
        <v>-207260</v>
      </c>
      <c r="E8" s="1077">
        <v>2859198</v>
      </c>
      <c r="F8" s="1077">
        <v>2992938</v>
      </c>
      <c r="G8" s="1077">
        <f t="shared" si="2"/>
        <v>-133740</v>
      </c>
      <c r="H8" s="1077">
        <f aca="true" t="shared" si="3" ref="H8:I13">B8+E8</f>
        <v>11051900</v>
      </c>
      <c r="I8" s="1077">
        <f t="shared" si="3"/>
        <v>11392900</v>
      </c>
      <c r="J8" s="1077">
        <f t="shared" si="1"/>
        <v>-341000</v>
      </c>
      <c r="K8" s="1078">
        <v>341000</v>
      </c>
      <c r="L8" s="883">
        <v>341</v>
      </c>
    </row>
    <row r="9" spans="1:12" ht="16.5" customHeight="1">
      <c r="A9" s="1018" t="s">
        <v>5</v>
      </c>
      <c r="B9" s="1077">
        <v>9240573</v>
      </c>
      <c r="C9" s="1077">
        <v>9683590</v>
      </c>
      <c r="D9" s="1077">
        <f t="shared" si="0"/>
        <v>-443017</v>
      </c>
      <c r="E9" s="1077">
        <v>5171075</v>
      </c>
      <c r="F9" s="1077">
        <v>4962058</v>
      </c>
      <c r="G9" s="1077">
        <f t="shared" si="2"/>
        <v>209017</v>
      </c>
      <c r="H9" s="1077">
        <f t="shared" si="3"/>
        <v>14411648</v>
      </c>
      <c r="I9" s="1077">
        <f t="shared" si="3"/>
        <v>14645648</v>
      </c>
      <c r="J9" s="1077">
        <f t="shared" si="1"/>
        <v>-234000</v>
      </c>
      <c r="K9" s="1078">
        <v>234000</v>
      </c>
      <c r="L9" s="883">
        <v>234</v>
      </c>
    </row>
    <row r="10" spans="1:13" ht="16.5" customHeight="1">
      <c r="A10" s="1062" t="s">
        <v>6</v>
      </c>
      <c r="B10" s="1077">
        <v>10378951</v>
      </c>
      <c r="C10" s="1077">
        <v>11241648</v>
      </c>
      <c r="D10" s="1077">
        <f t="shared" si="0"/>
        <v>-862697</v>
      </c>
      <c r="E10" s="1077">
        <v>4763899</v>
      </c>
      <c r="F10" s="1077">
        <v>4467179</v>
      </c>
      <c r="G10" s="1077">
        <f t="shared" si="2"/>
        <v>296720</v>
      </c>
      <c r="H10" s="1077">
        <f t="shared" si="3"/>
        <v>15142850</v>
      </c>
      <c r="I10" s="1079">
        <f t="shared" si="3"/>
        <v>15708827</v>
      </c>
      <c r="J10" s="1077">
        <f t="shared" si="1"/>
        <v>-565977</v>
      </c>
      <c r="K10" s="1078">
        <v>409000</v>
      </c>
      <c r="L10" s="883">
        <v>414</v>
      </c>
      <c r="M10" s="1063"/>
    </row>
    <row r="11" spans="1:13" ht="16.5" customHeight="1">
      <c r="A11" s="1018" t="s">
        <v>487</v>
      </c>
      <c r="B11" s="1077">
        <v>13776907</v>
      </c>
      <c r="C11" s="1077">
        <v>14402384</v>
      </c>
      <c r="D11" s="1077">
        <f t="shared" si="0"/>
        <v>-625477</v>
      </c>
      <c r="E11" s="1077">
        <v>3340588</v>
      </c>
      <c r="F11" s="1077">
        <v>3290777</v>
      </c>
      <c r="G11" s="1077">
        <f t="shared" si="2"/>
        <v>49811</v>
      </c>
      <c r="H11" s="1077">
        <f t="shared" si="3"/>
        <v>17117495</v>
      </c>
      <c r="I11" s="1077">
        <f t="shared" si="3"/>
        <v>17693161</v>
      </c>
      <c r="J11" s="1077">
        <f t="shared" si="1"/>
        <v>-575666</v>
      </c>
      <c r="K11" s="1078">
        <v>403000</v>
      </c>
      <c r="L11" s="883">
        <v>988</v>
      </c>
      <c r="M11" s="1063"/>
    </row>
    <row r="12" spans="1:13" ht="16.5" customHeight="1">
      <c r="A12" s="1018" t="s">
        <v>496</v>
      </c>
      <c r="B12" s="1077">
        <v>14147108</v>
      </c>
      <c r="C12" s="1077">
        <v>14947043</v>
      </c>
      <c r="D12" s="1077">
        <f t="shared" si="0"/>
        <v>-799935</v>
      </c>
      <c r="E12" s="1077">
        <v>5007520</v>
      </c>
      <c r="F12" s="1077">
        <v>4834834</v>
      </c>
      <c r="G12" s="1077">
        <f t="shared" si="2"/>
        <v>172686</v>
      </c>
      <c r="H12" s="1077">
        <f t="shared" si="3"/>
        <v>19154628</v>
      </c>
      <c r="I12" s="1077">
        <f t="shared" si="3"/>
        <v>19781877</v>
      </c>
      <c r="J12" s="1077">
        <f t="shared" si="1"/>
        <v>-627249</v>
      </c>
      <c r="K12" s="1078">
        <v>625000</v>
      </c>
      <c r="L12" s="883">
        <v>1495</v>
      </c>
      <c r="M12" s="1063"/>
    </row>
    <row r="13" spans="1:13" ht="16.5" customHeight="1">
      <c r="A13" s="1018" t="s">
        <v>498</v>
      </c>
      <c r="B13" s="1077">
        <v>15308958</v>
      </c>
      <c r="C13" s="1077">
        <v>15999510</v>
      </c>
      <c r="D13" s="1077">
        <f t="shared" si="0"/>
        <v>-690552</v>
      </c>
      <c r="E13" s="1077">
        <v>5172518</v>
      </c>
      <c r="F13" s="1077">
        <v>5355529</v>
      </c>
      <c r="G13" s="1077">
        <f t="shared" si="2"/>
        <v>-183011</v>
      </c>
      <c r="H13" s="1077">
        <f t="shared" si="3"/>
        <v>20481476</v>
      </c>
      <c r="I13" s="1077">
        <f t="shared" si="3"/>
        <v>21355039</v>
      </c>
      <c r="J13" s="1077">
        <f t="shared" si="1"/>
        <v>-873563</v>
      </c>
      <c r="K13" s="1078">
        <v>742000</v>
      </c>
      <c r="L13" s="883">
        <v>1053</v>
      </c>
      <c r="M13" s="1063"/>
    </row>
    <row r="14" spans="1:13" ht="16.5" customHeight="1">
      <c r="A14" s="1062" t="s">
        <v>663</v>
      </c>
      <c r="B14" s="1077">
        <v>15434741</v>
      </c>
      <c r="C14" s="1077">
        <v>16997039</v>
      </c>
      <c r="D14" s="1077">
        <f t="shared" si="0"/>
        <v>-1562298</v>
      </c>
      <c r="E14" s="1077">
        <v>6815831</v>
      </c>
      <c r="F14" s="1077">
        <v>7036193</v>
      </c>
      <c r="G14" s="1077">
        <f t="shared" si="2"/>
        <v>-220362</v>
      </c>
      <c r="H14" s="1077">
        <f>B14+E14</f>
        <v>22250572</v>
      </c>
      <c r="I14" s="1077">
        <f>C14+F14</f>
        <v>24033232</v>
      </c>
      <c r="J14" s="1077">
        <f>H14-I14</f>
        <v>-1782660</v>
      </c>
      <c r="K14" s="1078">
        <v>1490339</v>
      </c>
      <c r="L14" s="883"/>
      <c r="M14" s="1063"/>
    </row>
    <row r="15" spans="1:13" ht="16.5" customHeight="1">
      <c r="A15" s="1064" t="s">
        <v>7</v>
      </c>
      <c r="B15" s="1080">
        <v>15183259.736</v>
      </c>
      <c r="C15" s="1080">
        <v>17552238</v>
      </c>
      <c r="D15" s="1080">
        <f t="shared" si="0"/>
        <v>-2368978.2640000004</v>
      </c>
      <c r="E15" s="1080">
        <v>4108432</v>
      </c>
      <c r="F15" s="1080">
        <v>4106676</v>
      </c>
      <c r="G15" s="1081">
        <f t="shared" si="2"/>
        <v>1756</v>
      </c>
      <c r="H15" s="1080">
        <f>B15+E15</f>
        <v>19291691.736</v>
      </c>
      <c r="I15" s="1080">
        <f>C15+F15</f>
        <v>21658914</v>
      </c>
      <c r="J15" s="1080">
        <f>H15-I15</f>
        <v>-2367222.2639999986</v>
      </c>
      <c r="K15" s="1082">
        <v>0</v>
      </c>
      <c r="L15" s="883"/>
      <c r="M15" s="1063"/>
    </row>
    <row r="16" spans="2:12" ht="12.75">
      <c r="B16" s="966"/>
      <c r="C16" s="966"/>
      <c r="D16" s="966"/>
      <c r="E16" s="966"/>
      <c r="F16" s="966"/>
      <c r="G16" s="966"/>
      <c r="H16" s="966"/>
      <c r="I16" s="966"/>
      <c r="J16" s="966"/>
      <c r="K16" s="966"/>
      <c r="L16" s="966"/>
    </row>
    <row r="17" spans="2:12" ht="12.75">
      <c r="B17" s="966"/>
      <c r="C17" s="966"/>
      <c r="D17" s="966"/>
      <c r="E17" s="966"/>
      <c r="F17" s="966"/>
      <c r="G17" s="966"/>
      <c r="H17" s="966"/>
      <c r="I17" s="966"/>
      <c r="J17" s="966"/>
      <c r="K17" s="966"/>
      <c r="L17" s="966"/>
    </row>
    <row r="18" spans="1:12" ht="13.5" hidden="1" thickTop="1">
      <c r="A18" s="1259" t="s">
        <v>441</v>
      </c>
      <c r="B18" s="1260"/>
      <c r="C18" s="1065">
        <v>1998</v>
      </c>
      <c r="D18" s="1065">
        <v>1999</v>
      </c>
      <c r="E18" s="1065">
        <v>2000</v>
      </c>
      <c r="F18" s="1065">
        <v>2001</v>
      </c>
      <c r="G18" s="1065">
        <v>2002</v>
      </c>
      <c r="H18" s="1065">
        <v>2003</v>
      </c>
      <c r="I18" s="1065">
        <v>2004</v>
      </c>
      <c r="J18" s="1065">
        <v>2005</v>
      </c>
      <c r="K18" s="1066">
        <v>38990</v>
      </c>
      <c r="L18" s="1067" t="s">
        <v>221</v>
      </c>
    </row>
    <row r="19" spans="1:12" ht="13.5" hidden="1" thickBot="1">
      <c r="A19" s="1068" t="s">
        <v>210</v>
      </c>
      <c r="B19" s="1069"/>
      <c r="C19" s="934">
        <v>1787133</v>
      </c>
      <c r="D19" s="934">
        <v>2035656</v>
      </c>
      <c r="E19" s="934">
        <v>2178921</v>
      </c>
      <c r="F19" s="934">
        <v>2382321</v>
      </c>
      <c r="G19" s="934">
        <v>2318607</v>
      </c>
      <c r="H19" s="934">
        <v>2084361</v>
      </c>
      <c r="I19" s="934">
        <v>2423070</v>
      </c>
      <c r="J19" s="934">
        <v>3091797</v>
      </c>
      <c r="K19" s="1070">
        <v>3774314</v>
      </c>
      <c r="L19" s="1071"/>
    </row>
    <row r="20" spans="1:11" ht="12.75">
      <c r="A20" s="1072"/>
      <c r="B20" s="1072"/>
      <c r="C20" s="1003"/>
      <c r="D20" s="1003"/>
      <c r="E20" s="1003"/>
      <c r="F20" s="1003"/>
      <c r="G20" s="1003"/>
      <c r="H20" s="1003"/>
      <c r="I20" s="1003"/>
      <c r="J20" s="1003"/>
      <c r="K20" s="966"/>
    </row>
    <row r="21" spans="2:12" ht="13.5" thickBot="1">
      <c r="B21" s="966"/>
      <c r="C21" s="966"/>
      <c r="D21" s="966"/>
      <c r="E21" s="966" t="s">
        <v>208</v>
      </c>
      <c r="F21" s="966"/>
      <c r="G21" s="966"/>
      <c r="H21" s="966"/>
      <c r="I21" s="966"/>
      <c r="J21" s="966"/>
      <c r="K21" s="966"/>
      <c r="L21" s="966"/>
    </row>
    <row r="22" spans="1:12" ht="13.5" thickTop="1">
      <c r="A22" s="1257"/>
      <c r="B22" s="1258"/>
      <c r="C22" s="1065">
        <v>2000</v>
      </c>
      <c r="D22" s="1065">
        <v>2001</v>
      </c>
      <c r="E22" s="1065">
        <v>2002</v>
      </c>
      <c r="F22" s="1065">
        <v>2003</v>
      </c>
      <c r="G22" s="1065">
        <v>2004</v>
      </c>
      <c r="H22" s="1065">
        <v>2005</v>
      </c>
      <c r="I22" s="1074" t="s">
        <v>453</v>
      </c>
      <c r="J22" s="1074" t="s">
        <v>211</v>
      </c>
      <c r="K22" s="1073" t="s">
        <v>422</v>
      </c>
      <c r="L22" s="966"/>
    </row>
    <row r="23" spans="1:12" ht="12.75">
      <c r="A23" s="876" t="s">
        <v>228</v>
      </c>
      <c r="C23" s="1060">
        <f>D8</f>
        <v>-207260</v>
      </c>
      <c r="D23" s="1061">
        <f>D9</f>
        <v>-443017</v>
      </c>
      <c r="E23" s="1061">
        <f>D10</f>
        <v>-862697</v>
      </c>
      <c r="F23" s="1061">
        <f>D11</f>
        <v>-625477</v>
      </c>
      <c r="G23" s="1061">
        <f>D12</f>
        <v>-799935</v>
      </c>
      <c r="H23" s="1061">
        <f>D13</f>
        <v>-690552</v>
      </c>
      <c r="I23" s="1061">
        <f>D14</f>
        <v>-1562298</v>
      </c>
      <c r="J23" s="1061">
        <f>D15</f>
        <v>-2368978.2640000004</v>
      </c>
      <c r="K23" s="1061">
        <f>SUM(C23:J23)</f>
        <v>-7560214.264</v>
      </c>
      <c r="L23" s="966"/>
    </row>
    <row r="24" spans="1:12" ht="12.75">
      <c r="A24" s="1257" t="s">
        <v>229</v>
      </c>
      <c r="B24" s="1257"/>
      <c r="C24" s="966">
        <f>G8</f>
        <v>-133740</v>
      </c>
      <c r="D24" s="966">
        <f>G9</f>
        <v>209017</v>
      </c>
      <c r="E24" s="966">
        <f>G10</f>
        <v>296720</v>
      </c>
      <c r="F24" s="966">
        <f>G11</f>
        <v>49811</v>
      </c>
      <c r="G24" s="966">
        <f>G12</f>
        <v>172686</v>
      </c>
      <c r="H24" s="966">
        <f>G13</f>
        <v>-183011</v>
      </c>
      <c r="I24" s="966">
        <f>G14</f>
        <v>-220362</v>
      </c>
      <c r="J24" s="966">
        <f>G15</f>
        <v>1756</v>
      </c>
      <c r="K24" s="1061">
        <f>SUM(C24:J24)</f>
        <v>192877</v>
      </c>
      <c r="L24" s="966"/>
    </row>
    <row r="25" spans="1:12" ht="12.75">
      <c r="A25" s="876" t="s">
        <v>230</v>
      </c>
      <c r="B25" s="966"/>
      <c r="C25" s="966">
        <f>SUM(C23:C24)</f>
        <v>-341000</v>
      </c>
      <c r="D25" s="966">
        <f aca="true" t="shared" si="4" ref="D25:J25">SUM(D23:D24)</f>
        <v>-234000</v>
      </c>
      <c r="E25" s="966">
        <f t="shared" si="4"/>
        <v>-565977</v>
      </c>
      <c r="F25" s="966">
        <f t="shared" si="4"/>
        <v>-575666</v>
      </c>
      <c r="G25" s="966">
        <f t="shared" si="4"/>
        <v>-627249</v>
      </c>
      <c r="H25" s="966">
        <f t="shared" si="4"/>
        <v>-873563</v>
      </c>
      <c r="I25" s="966">
        <f t="shared" si="4"/>
        <v>-1782660</v>
      </c>
      <c r="J25" s="966">
        <f t="shared" si="4"/>
        <v>-2367222.2640000004</v>
      </c>
      <c r="K25" s="1061">
        <f>SUM(C25:J25)</f>
        <v>-7367337.264</v>
      </c>
      <c r="L25" s="966"/>
    </row>
    <row r="26" spans="2:12" ht="13.5" thickBot="1">
      <c r="B26" s="966"/>
      <c r="C26" s="966"/>
      <c r="D26" s="966"/>
      <c r="E26" s="966"/>
      <c r="F26" s="966"/>
      <c r="G26" s="966"/>
      <c r="H26" s="966"/>
      <c r="I26" s="966"/>
      <c r="J26" s="966"/>
      <c r="K26" s="966"/>
      <c r="L26" s="966"/>
    </row>
    <row r="27" spans="1:12" ht="13.5" thickTop="1">
      <c r="A27" s="1257"/>
      <c r="B27" s="1258"/>
      <c r="C27" s="1065">
        <v>2000</v>
      </c>
      <c r="D27" s="1065">
        <v>2001</v>
      </c>
      <c r="E27" s="1065">
        <v>2002</v>
      </c>
      <c r="F27" s="1065">
        <v>2003</v>
      </c>
      <c r="G27" s="1065">
        <v>2004</v>
      </c>
      <c r="H27" s="1065">
        <v>2005</v>
      </c>
      <c r="I27" s="1074" t="s">
        <v>453</v>
      </c>
      <c r="J27" s="1074" t="s">
        <v>211</v>
      </c>
      <c r="K27" s="1073" t="s">
        <v>422</v>
      </c>
      <c r="L27" s="966"/>
    </row>
    <row r="28" spans="1:12" ht="12.75">
      <c r="A28" s="876" t="s">
        <v>228</v>
      </c>
      <c r="C28" s="1060">
        <f>C23*-1</f>
        <v>207260</v>
      </c>
      <c r="D28" s="1060">
        <f aca="true" t="shared" si="5" ref="D28:I28">D23*-1</f>
        <v>443017</v>
      </c>
      <c r="E28" s="1060">
        <f t="shared" si="5"/>
        <v>862697</v>
      </c>
      <c r="F28" s="1060">
        <f t="shared" si="5"/>
        <v>625477</v>
      </c>
      <c r="G28" s="1060">
        <f t="shared" si="5"/>
        <v>799935</v>
      </c>
      <c r="H28" s="1060">
        <f t="shared" si="5"/>
        <v>690552</v>
      </c>
      <c r="I28" s="1060">
        <f t="shared" si="5"/>
        <v>1562298</v>
      </c>
      <c r="J28" s="966">
        <f>J23*-1</f>
        <v>2368978.2640000004</v>
      </c>
      <c r="K28" s="1061">
        <f>SUM(C28:J28)</f>
        <v>7560214.264</v>
      </c>
      <c r="L28" s="966"/>
    </row>
    <row r="29" spans="1:12" ht="12.75">
      <c r="A29" s="1257" t="s">
        <v>229</v>
      </c>
      <c r="B29" s="1257"/>
      <c r="C29" s="1060">
        <f>C24*-1</f>
        <v>133740</v>
      </c>
      <c r="D29" s="1060">
        <f aca="true" t="shared" si="6" ref="D29:I29">D24*-1</f>
        <v>-209017</v>
      </c>
      <c r="E29" s="1060">
        <f t="shared" si="6"/>
        <v>-296720</v>
      </c>
      <c r="F29" s="1060">
        <f t="shared" si="6"/>
        <v>-49811</v>
      </c>
      <c r="G29" s="1060">
        <f t="shared" si="6"/>
        <v>-172686</v>
      </c>
      <c r="H29" s="1060">
        <f t="shared" si="6"/>
        <v>183011</v>
      </c>
      <c r="I29" s="1060">
        <f t="shared" si="6"/>
        <v>220362</v>
      </c>
      <c r="J29" s="966">
        <f>J24*-1</f>
        <v>-1756</v>
      </c>
      <c r="K29" s="1061">
        <f>SUM(C29:I29)</f>
        <v>-191121</v>
      </c>
      <c r="L29" s="966"/>
    </row>
    <row r="30" spans="1:12" ht="12.75">
      <c r="A30" s="876" t="s">
        <v>230</v>
      </c>
      <c r="B30" s="966"/>
      <c r="C30" s="966">
        <f aca="true" t="shared" si="7" ref="C30:J30">SUM(C28:C29)</f>
        <v>341000</v>
      </c>
      <c r="D30" s="966">
        <f t="shared" si="7"/>
        <v>234000</v>
      </c>
      <c r="E30" s="966">
        <f t="shared" si="7"/>
        <v>565977</v>
      </c>
      <c r="F30" s="966">
        <f t="shared" si="7"/>
        <v>575666</v>
      </c>
      <c r="G30" s="966">
        <f t="shared" si="7"/>
        <v>627249</v>
      </c>
      <c r="H30" s="966">
        <f t="shared" si="7"/>
        <v>873563</v>
      </c>
      <c r="I30" s="966">
        <f t="shared" si="7"/>
        <v>1782660</v>
      </c>
      <c r="J30" s="966">
        <f t="shared" si="7"/>
        <v>2367222.2640000004</v>
      </c>
      <c r="K30" s="966">
        <f>SUM(K28:K29)</f>
        <v>7369093.264</v>
      </c>
      <c r="L30" s="966"/>
    </row>
    <row r="31" spans="2:12" ht="12.75">
      <c r="B31" s="966"/>
      <c r="C31" s="966"/>
      <c r="D31" s="966"/>
      <c r="E31" s="966"/>
      <c r="F31" s="966"/>
      <c r="G31" s="966"/>
      <c r="H31" s="966"/>
      <c r="I31" s="966"/>
      <c r="J31" s="966"/>
      <c r="K31" s="966"/>
      <c r="L31" s="966"/>
    </row>
    <row r="32" spans="2:12" ht="12.75">
      <c r="B32" s="966"/>
      <c r="C32" s="966"/>
      <c r="D32" s="966"/>
      <c r="E32" s="966"/>
      <c r="F32" s="966"/>
      <c r="G32" s="966"/>
      <c r="H32" s="966"/>
      <c r="I32" s="966"/>
      <c r="J32" s="966"/>
      <c r="K32" s="966"/>
      <c r="L32" s="966"/>
    </row>
    <row r="33" spans="2:12" ht="12.75">
      <c r="B33" s="966"/>
      <c r="C33" s="966"/>
      <c r="D33" s="966"/>
      <c r="E33" s="966"/>
      <c r="F33" s="966"/>
      <c r="G33" s="966"/>
      <c r="H33" s="966"/>
      <c r="I33" s="966"/>
      <c r="J33" s="966"/>
      <c r="K33" s="966"/>
      <c r="L33" s="966"/>
    </row>
    <row r="34" spans="2:12" ht="12.75">
      <c r="B34" s="966"/>
      <c r="C34" s="966"/>
      <c r="D34" s="966"/>
      <c r="E34" s="966"/>
      <c r="F34" s="966"/>
      <c r="G34" s="966"/>
      <c r="H34" s="966"/>
      <c r="I34" s="966"/>
      <c r="J34" s="966"/>
      <c r="K34" s="966"/>
      <c r="L34" s="966"/>
    </row>
    <row r="35" spans="2:12" ht="12.75">
      <c r="B35" s="966"/>
      <c r="C35" s="966"/>
      <c r="D35" s="966"/>
      <c r="E35" s="966"/>
      <c r="F35" s="966"/>
      <c r="G35" s="966"/>
      <c r="H35" s="966"/>
      <c r="I35" s="966"/>
      <c r="J35" s="966"/>
      <c r="K35" s="966"/>
      <c r="L35" s="966"/>
    </row>
    <row r="36" spans="2:12" ht="12.75">
      <c r="B36" s="966"/>
      <c r="C36" s="966"/>
      <c r="D36" s="966"/>
      <c r="E36" s="966"/>
      <c r="F36" s="966"/>
      <c r="G36" s="966"/>
      <c r="H36" s="966"/>
      <c r="I36" s="966"/>
      <c r="J36" s="966"/>
      <c r="K36" s="966"/>
      <c r="L36" s="966"/>
    </row>
    <row r="37" spans="2:12" ht="12.75">
      <c r="B37" s="966"/>
      <c r="C37" s="966"/>
      <c r="D37" s="966"/>
      <c r="E37" s="966"/>
      <c r="F37" s="966"/>
      <c r="G37" s="966"/>
      <c r="H37" s="966"/>
      <c r="I37" s="966"/>
      <c r="J37" s="966"/>
      <c r="K37" s="966"/>
      <c r="L37" s="966"/>
    </row>
    <row r="38" spans="2:12" ht="12.75">
      <c r="B38" s="966"/>
      <c r="C38" s="966"/>
      <c r="D38" s="966"/>
      <c r="E38" s="966"/>
      <c r="F38" s="966"/>
      <c r="G38" s="966"/>
      <c r="H38" s="966"/>
      <c r="I38" s="966"/>
      <c r="J38" s="966"/>
      <c r="K38" s="966"/>
      <c r="L38" s="966"/>
    </row>
  </sheetData>
  <mergeCells count="11">
    <mergeCell ref="A18:B18"/>
    <mergeCell ref="A2:K2"/>
    <mergeCell ref="K4:K5"/>
    <mergeCell ref="A4:A5"/>
    <mergeCell ref="B4:D4"/>
    <mergeCell ref="E4:G4"/>
    <mergeCell ref="H4:J4"/>
    <mergeCell ref="A24:B24"/>
    <mergeCell ref="A22:B22"/>
    <mergeCell ref="A27:B27"/>
    <mergeCell ref="A29:B29"/>
  </mergeCells>
  <printOptions horizontalCentered="1"/>
  <pageMargins left="0.31496062992125984" right="0.3149606299212598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SZMJV-PH</cp:lastModifiedBy>
  <cp:lastPrinted>2009-02-27T07:24:18Z</cp:lastPrinted>
  <dcterms:created xsi:type="dcterms:W3CDTF">2006-11-20T12:40:41Z</dcterms:created>
  <dcterms:modified xsi:type="dcterms:W3CDTF">2009-02-27T07:39:04Z</dcterms:modified>
  <cp:category/>
  <cp:version/>
  <cp:contentType/>
  <cp:contentStatus/>
</cp:coreProperties>
</file>