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256" windowHeight="8700" tabRatio="855" activeTab="2"/>
  </bookViews>
  <sheets>
    <sheet name="8. sz. egyszerűsített mérleg" sheetId="1" r:id="rId1"/>
    <sheet name="9.sz.pénzforgalmi jelentés" sheetId="2" r:id="rId2"/>
    <sheet name="10. sz. pénzmaradvány" sheetId="3" r:id="rId3"/>
    <sheet name="11.sz.m." sheetId="4" r:id="rId4"/>
    <sheet name="12.sz.m." sheetId="5" r:id="rId5"/>
    <sheet name="13.sz.m." sheetId="6" r:id="rId6"/>
    <sheet name="14.sz.m." sheetId="7" r:id="rId7"/>
    <sheet name="15. sz.m." sheetId="8" r:id="rId8"/>
    <sheet name="16.sz.m." sheetId="9" r:id="rId9"/>
    <sheet name="17.sz.m." sheetId="10" r:id="rId10"/>
    <sheet name="18 melléklet" sheetId="11" r:id="rId11"/>
    <sheet name="18. a melléklet" sheetId="12" r:id="rId12"/>
    <sheet name="18.b melléklet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">'[1]Háttéradatok'!$C$29:$AG$32</definedName>
    <definedName name="css">#REF!</definedName>
    <definedName name="css_k">'[3]Családsegítés'!$C$27:$C$86</definedName>
    <definedName name="css_k_">#REF!</definedName>
    <definedName name="eu">'[1]Háttéradatok'!$C$29:$AG$32</definedName>
    <definedName name="Excel_BuiltIn_Print_Area_1">#REF!</definedName>
    <definedName name="Excel_BuiltIn_Print_Titles_26">(#REF!,#REF!)</definedName>
    <definedName name="G">'[4]Háttéradatok'!$C$29:$AG$32</definedName>
    <definedName name="GDP">'[1]Háttéradatok'!$B$22:$AG$28</definedName>
    <definedName name="GDP_13">'[5]Háttéradatok'!$B$22:$AG$28</definedName>
    <definedName name="GDP_14">'[4]Háttéradatok'!$B$22:$AG$28</definedName>
    <definedName name="GDP_15">'[4]Háttéradatok'!$B$22:$AG$28</definedName>
    <definedName name="GDP_16">'[4]Háttéradatok'!$B$22:$AG$28</definedName>
    <definedName name="GDP_18">'[5]Háttéradatok'!$B$22:$AG$28</definedName>
    <definedName name="GDP_19">'[4]Háttéradatok'!$B$22:$AG$28</definedName>
    <definedName name="GDP_21">'[6]Háttéradatok'!$B$22:$AG$28</definedName>
    <definedName name="GDP_7">'[5]Háttéradatok'!$B$22:$AG$28</definedName>
    <definedName name="gdpp">'[7]Háttéradatok'!$B$22:$AG$28</definedName>
    <definedName name="gggg">'[4]Háttéradatok'!$C$29:$AG$32</definedName>
    <definedName name="gyj">#REF!</definedName>
    <definedName name="gyj_k">'[3]Gyermekjóléti'!$C$27:$C$86</definedName>
    <definedName name="gyj_k_">#REF!</definedName>
    <definedName name="intézmény">'[1]Háttéradatok'!$C$29:$AG$32</definedName>
    <definedName name="intézmény_13">'[5]Háttéradatok'!$C$29:$AG$32</definedName>
    <definedName name="intézmény_16">'[1]Háttéradatok'!$C$29:$AG$32</definedName>
    <definedName name="intézmény_7">'[5]Háttéradatok'!$C$29:$AG$32</definedName>
    <definedName name="kjz">#REF!</definedName>
    <definedName name="kjz_k">'[3]körjegyzőség'!$C$9:$C$28</definedName>
    <definedName name="kjz_k_">#REF!</definedName>
    <definedName name="más">(#REF!,#REF!)</definedName>
    <definedName name="nep">'[1]Háttéradatok'!$C$29:$AG$32</definedName>
    <definedName name="nép">'[1]Háttéradatok'!$C$29:$AG$32</definedName>
    <definedName name="nep_13">'[5]Háttéradatok'!$C$29:$AG$32</definedName>
    <definedName name="nép_13">'[5]Háttéradatok'!$C$29:$AG$32</definedName>
    <definedName name="nep_14">'[4]Háttéradatok'!$C$29:$AG$32</definedName>
    <definedName name="nép_14">'[4]Háttéradatok'!$C$29:$AG$32</definedName>
    <definedName name="nep_15">'[4]Háttéradatok'!$C$29:$AG$32</definedName>
    <definedName name="nép_15">'[4]Háttéradatok'!$C$29:$AG$32</definedName>
    <definedName name="nep_16">'[4]Háttéradatok'!$C$29:$AG$32</definedName>
    <definedName name="nép_16">'[4]Háttéradatok'!$C$29:$AG$32</definedName>
    <definedName name="nep_18">'[5]Háttéradatok'!$C$29:$AG$32</definedName>
    <definedName name="nép_18">'[5]Háttéradatok'!$C$29:$AG$32</definedName>
    <definedName name="nép_19">'[4]Háttéradatok'!$C$29:$AG$32</definedName>
    <definedName name="nép_21">'[6]Háttéradatok'!$C$29:$AG$32</definedName>
    <definedName name="nep_7">'[5]Háttéradatok'!$C$29:$AG$32</definedName>
    <definedName name="nép_7">'[5]Háttéradatok'!$C$29:$AG$32</definedName>
    <definedName name="nev_c">#REF!</definedName>
    <definedName name="nev_g">#REF!</definedName>
    <definedName name="nev_k">#REF!</definedName>
    <definedName name="_xlnm.Print_Titles" localSheetId="10">'18 melléklet'!$1:$5</definedName>
    <definedName name="_xlnm.Print_Area" localSheetId="7">'15. sz.m.'!$A$1:$H$30</definedName>
    <definedName name="_xlnm.Print_Area" localSheetId="8">'16.sz.m.'!$A$1:$E$58</definedName>
    <definedName name="_xlnm.Print_Area" localSheetId="9">'17.sz.m.'!$A$1:$H$24</definedName>
    <definedName name="_xlnm.Print_Area" localSheetId="10">'18 melléklet'!$A$1:$E$273</definedName>
    <definedName name="_xlnm.Print_Area" localSheetId="11">'18. a melléklet'!$A$1:$C$33</definedName>
    <definedName name="_xlnm.Print_Area" localSheetId="0">'8. sz. egyszerűsített mérleg'!$A$1:$H$30</definedName>
    <definedName name="_xlnm.Print_Area" localSheetId="1">'9.sz.pénzforgalmi jelentés'!$A$1:$E$59</definedName>
    <definedName name="Tűzoltóság">'[9]Háttéradatok'!$C$29:$AG$32</definedName>
    <definedName name="xxx">'[1]Háttéradatok'!$C$29:$AG$32</definedName>
    <definedName name="xxx_13">'[5]Háttéradatok'!$C$29:$AG$32</definedName>
    <definedName name="xxx_16">'[1]Háttéradatok'!$C$29:$AG$32</definedName>
    <definedName name="xxx_7">'[5]Háttéradatok'!$C$29:$AG$32</definedName>
    <definedName name="xxxxxx">'[1]Háttéradatok'!$C$29:$AG$32</definedName>
    <definedName name="xxxxxx_13">'[5]Háttéradatok'!$C$29:$AG$32</definedName>
    <definedName name="xxxxxx_14">'[10]Háttéradatok'!$C$29:$AG$32</definedName>
    <definedName name="xxxxxx_15">'[10]Háttéradatok'!$C$29:$AG$32</definedName>
    <definedName name="xxxxxx_16">'[10]Háttéradatok'!$C$29:$AG$32</definedName>
    <definedName name="xxxxxx_18">'[5]Háttéradatok'!$C$29:$AG$32</definedName>
    <definedName name="xxxxxx_7">'[5]Háttéradatok'!$C$29:$AG$32</definedName>
    <definedName name="zzz">'[1]Háttéradatok'!$B$22:$AG$28</definedName>
  </definedNames>
  <calcPr fullCalcOnLoad="1"/>
</workbook>
</file>

<file path=xl/sharedStrings.xml><?xml version="1.0" encoding="utf-8"?>
<sst xmlns="http://schemas.openxmlformats.org/spreadsheetml/2006/main" count="1341" uniqueCount="918">
  <si>
    <t>8. sz. melléklet</t>
  </si>
  <si>
    <t>Szolnok Megyei Jogú Város Önkormányzata</t>
  </si>
  <si>
    <t>2009. évi egyszerűsített mérlege</t>
  </si>
  <si>
    <t>adatok ezer Ft-ban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</si>
  <si>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</si>
  <si>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</si>
  <si>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</si>
  <si>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</si>
  <si>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</si>
  <si>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</si>
  <si>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1.</t>
  </si>
  <si>
    <t xml:space="preserve">A) BEFEKTETETT ESZKÖZÖK </t>
  </si>
  <si>
    <t>2.</t>
  </si>
  <si>
    <t>I.   Immateriális javak</t>
  </si>
  <si>
    <t>3.</t>
  </si>
  <si>
    <t>II.  Tárgyi eszközök</t>
  </si>
  <si>
    <t>4.</t>
  </si>
  <si>
    <t>III. Befektetett pénzügyi eszközök</t>
  </si>
  <si>
    <t>5.</t>
  </si>
  <si>
    <t>lV.Üzemeltetésre, kezelésre átadott eszközök</t>
  </si>
  <si>
    <t>6.</t>
  </si>
  <si>
    <t xml:space="preserve">B) FORGÓESZKÖZÖK </t>
  </si>
  <si>
    <t>7.</t>
  </si>
  <si>
    <t>l.   Készletek</t>
  </si>
  <si>
    <t>8.</t>
  </si>
  <si>
    <t>ll.  Követelések</t>
  </si>
  <si>
    <t>9.</t>
  </si>
  <si>
    <t>lll. Értékpapírok</t>
  </si>
  <si>
    <t>10.</t>
  </si>
  <si>
    <t>IV.Pénzeszközök</t>
  </si>
  <si>
    <t>11.</t>
  </si>
  <si>
    <t>V. Egyéb aktív pénzügyi elszámolások</t>
  </si>
  <si>
    <t>12.</t>
  </si>
  <si>
    <t>ESZKÖZÖK ÖSSZESEN</t>
  </si>
  <si>
    <t>F O R R Á S O K</t>
  </si>
  <si>
    <t>13.</t>
  </si>
  <si>
    <t>D) SAJÁT TŐKE ÖSSZESEN</t>
  </si>
  <si>
    <t>14.</t>
  </si>
  <si>
    <t>1. Induló tőke</t>
  </si>
  <si>
    <t>15.</t>
  </si>
  <si>
    <t>2. Tőkeváltozások</t>
  </si>
  <si>
    <t>16.</t>
  </si>
  <si>
    <t>3. Értékelési tartalék</t>
  </si>
  <si>
    <t>17.</t>
  </si>
  <si>
    <t>E) TARTALÉKOK ÖSSZESEN</t>
  </si>
  <si>
    <t>18.</t>
  </si>
  <si>
    <t xml:space="preserve"> I. Költségvetési tartalékok</t>
  </si>
  <si>
    <t>19.</t>
  </si>
  <si>
    <t>II. Vállalkozási tartalékok</t>
  </si>
  <si>
    <t>20.</t>
  </si>
  <si>
    <t>F) KÖTELEZETTSÉGEK ÖSSZESEN</t>
  </si>
  <si>
    <t>21.</t>
  </si>
  <si>
    <t xml:space="preserve">  I. Hosszú lejáratú kötelezettségek</t>
  </si>
  <si>
    <t>22.</t>
  </si>
  <si>
    <t xml:space="preserve"> II. Rövid lejáratú kötelezettségek</t>
  </si>
  <si>
    <t>23.</t>
  </si>
  <si>
    <t>III. Egyéb passzív pénzügyi elszámolások</t>
  </si>
  <si>
    <t>24.</t>
  </si>
  <si>
    <t>FORRÁSOK ÖSSZESEN</t>
  </si>
  <si>
    <t>9. sz. melléklet</t>
  </si>
  <si>
    <t>Sor-
szám</t>
  </si>
  <si>
    <t>Megnevezés</t>
  </si>
  <si>
    <t>Eredeti</t>
  </si>
  <si>
    <t>Módosított</t>
  </si>
  <si>
    <t>Teljesítés</t>
  </si>
  <si>
    <t>előirányzat</t>
  </si>
  <si>
    <t>Személyi juttatások</t>
  </si>
  <si>
    <t>Munkaadókat terhelő járulék</t>
  </si>
  <si>
    <t>Dologi és egyéb folyó  kiadások</t>
  </si>
  <si>
    <t>Működési célú támogatásértékű kiadások, egyéb támogatások</t>
  </si>
  <si>
    <t>Államháztartáson kívülre végleges működési pénzeszközátadások</t>
  </si>
  <si>
    <t>Ellátottak pénzbeli juttatásai</t>
  </si>
  <si>
    <t>Felújítás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</si>
  <si>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</si>
  <si>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</si>
  <si>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</si>
  <si>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</si>
  <si>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</si>
  <si>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összesen ( 01+...+12 )</t>
  </si>
  <si>
    <t>Hosszú lejáratú hitelek</t>
  </si>
  <si>
    <t>Rövid lejáratú hitelek</t>
  </si>
  <si>
    <t>Tartós hitelviszonyt megtestesítő értékpapírok kiadásai</t>
  </si>
  <si>
    <t>Forgatási célú hitelviszonyt megtestesítő értékpapírok kiadásai</t>
  </si>
  <si>
    <t>Finanszírozási kiadások összesen (14+..+17)</t>
  </si>
  <si>
    <t>Pénzforgalmi kiadások (13+18)</t>
  </si>
  <si>
    <t>Pénzforgalom nélküli kiadások</t>
  </si>
  <si>
    <t>Továbbadási (lebonyolítási) célú kiadások</t>
  </si>
  <si>
    <t xml:space="preserve">Kiegyenlítő, függő, átfutó kiadások </t>
  </si>
  <si>
    <t>Kiadások összesen ( 19+…+22 )</t>
  </si>
  <si>
    <t>Intézményi működési bevételek</t>
  </si>
  <si>
    <t>Önkormányzatok sajátos működési bevétele</t>
  </si>
  <si>
    <t>Működési célú támogatásértékű bevételek, egyéb támogatások</t>
  </si>
  <si>
    <t>Államháztartáson kívülről végleges működési pénzeszközátvételek</t>
  </si>
  <si>
    <t>Felhalmozási és tőke jellegű bevételek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</si>
  <si>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</si>
  <si>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</si>
  <si>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</si>
  <si>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</si>
  <si>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</si>
  <si>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</si>
  <si>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</si>
  <si>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</si>
  <si>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Hosszú lejáratú hitelek felvétele</t>
  </si>
  <si>
    <t>Rövid lejáratú hitelek felvétele</t>
  </si>
  <si>
    <t>Tartós hitelviszonyt megtestesítő értékpapírok bevételei</t>
  </si>
  <si>
    <t>Forgatási célú hitelviszonyt megtestesítő értékpapírok bevételei</t>
  </si>
  <si>
    <t>Finanszírozási bevételek összesen (37+..+40)</t>
  </si>
  <si>
    <t>Pénzforgalmi bevételek (36+41 )</t>
  </si>
  <si>
    <t>Pénzforgalom nélküli bevételek</t>
  </si>
  <si>
    <t>Továbbadási (lebonyolítási) célú bevételek</t>
  </si>
  <si>
    <t>Kiegyenlítő, függő, átfutó bevételek</t>
  </si>
  <si>
    <t>Bevételek összesen ( 42+…+45)</t>
  </si>
  <si>
    <t>Költségvetési bevételek és kiadások különbsége (36+43-13-20) [költségvetési hiány (-), költségvetési többlet (+)]</t>
  </si>
  <si>
    <t>Finanszírozási műveletek eredménye (41-18)</t>
  </si>
  <si>
    <t>Továbbadási (lebonyolítási) célú bevételek és kiadások különbsége (44-21)</t>
  </si>
  <si>
    <t>Aktív és passzív pénzügyi műveletek egyenlege (45-22)</t>
  </si>
  <si>
    <t>10. sz. melléklet</t>
  </si>
  <si>
    <t>Sor-szám</t>
  </si>
  <si>
    <t>Záró pénzkészlet</t>
  </si>
  <si>
    <t>Forgatási célú  pénzügyi műveletek egyenlege</t>
  </si>
  <si>
    <t>Egyéb aktív és passzív pénzügyi elszámolások összevont záróegyenlege (±)</t>
  </si>
  <si>
    <t>Előző év(ek)ben képzett tartalékok maradványa ( - )</t>
  </si>
  <si>
    <t>Vállalkozási tevékenység pénzforgalmi eredménye ( - )</t>
  </si>
  <si>
    <t>Tárgyévi helyesbített pénzmaradvány ( 1+2 ± 3 - 4-5 )</t>
  </si>
  <si>
    <t>Finanszírozásból származó korrekciók ( ± )</t>
  </si>
  <si>
    <t>Pénzmaradványt terhelő elvonások ( ± )</t>
  </si>
  <si>
    <t>A vállalkozási tevékenység eredményéből alaptevékenység ellátására felhasznált összeg</t>
  </si>
  <si>
    <t>Költségvetési pénzmaradványt külön jogszabály alapján módosító tétel ( ± )</t>
  </si>
  <si>
    <t>Módosított pénzmaradvány ( 5 ± 6 ± 7 + 8 ± 9 )</t>
  </si>
  <si>
    <t>A 10. sorból 
   - az egészségbiztosítási alapból folyósított pénzmaradványa</t>
  </si>
  <si>
    <t xml:space="preserve">   - Kötelezettséggel terhelt pénzmaradvány</t>
  </si>
  <si>
    <t xml:space="preserve">   - Szabad pénzmaradvány</t>
  </si>
  <si>
    <t xml:space="preserve"> </t>
  </si>
  <si>
    <t>11.sz. melléklet</t>
  </si>
  <si>
    <t xml:space="preserve">Kisebbségi önkormányzatok 2009. évi egyszerűsített mérlege   </t>
  </si>
  <si>
    <t>ESZKÖZÖK</t>
  </si>
  <si>
    <t>CKÖ</t>
  </si>
  <si>
    <t>LKÖ</t>
  </si>
  <si>
    <t>Összesen</t>
  </si>
  <si>
    <t xml:space="preserve">A./  </t>
  </si>
  <si>
    <t xml:space="preserve"> 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</si>
  <si>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</si>
  <si>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</si>
  <si>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</si>
  <si>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</si>
  <si>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</si>
  <si>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</si>
  <si>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</si>
  <si>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</si>
  <si>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B./</t>
  </si>
  <si>
    <t>FORGÓESZKÖZÖK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</si>
  <si>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</si>
  <si>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</si>
  <si>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</si>
  <si>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</si>
  <si>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</si>
  <si>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</si>
  <si>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ESZKÖZÖK  ÖSSZESEN:</t>
  </si>
  <si>
    <t>FORRÁSOK</t>
  </si>
  <si>
    <t>Összege</t>
  </si>
  <si>
    <t>D./</t>
  </si>
  <si>
    <t>SAJÁT TŐKE</t>
  </si>
  <si>
    <t>Induló tőke</t>
  </si>
  <si>
    <t>Tőkeváltozás</t>
  </si>
  <si>
    <t>E./</t>
  </si>
  <si>
    <t>TARTALÉKOK</t>
  </si>
  <si>
    <t>Költségvetési tartalékok</t>
  </si>
  <si>
    <t>Vállalkozási tartalékok</t>
  </si>
  <si>
    <t>F./</t>
  </si>
  <si>
    <t>KÖTELEZETTSÉGEK</t>
  </si>
  <si>
    <t>Hosszú lejáratú kötelezettségek</t>
  </si>
  <si>
    <t>Rövid lejáratú kötelezettségek</t>
  </si>
  <si>
    <t>Egyéb passzív pénzügyi elszámolások</t>
  </si>
  <si>
    <t>12.sz.melléklet</t>
  </si>
  <si>
    <t xml:space="preserve">Kisebbségi önkormányzatok 2009. évi pénzforgalmi jelentése  </t>
  </si>
  <si>
    <t>Előirányzat</t>
  </si>
  <si>
    <t>01.</t>
  </si>
  <si>
    <t>02.</t>
  </si>
  <si>
    <t>Társadalombiztosítási járulék</t>
  </si>
  <si>
    <t>03.</t>
  </si>
  <si>
    <t>Dologi kiadások</t>
  </si>
  <si>
    <t>04.</t>
  </si>
  <si>
    <t>Pénzeszközátadás, egyéb támogatás</t>
  </si>
  <si>
    <t>05.</t>
  </si>
  <si>
    <t>Ellátottak juttatásai</t>
  </si>
  <si>
    <t>06.</t>
  </si>
  <si>
    <t>07.</t>
  </si>
  <si>
    <t>08.</t>
  </si>
  <si>
    <t>Hitelek kiadásai</t>
  </si>
  <si>
    <t>09.</t>
  </si>
  <si>
    <t>Értékpapírok kiadásai</t>
  </si>
  <si>
    <t>Pénzforgalmi kiadások  (01 + ...09)</t>
  </si>
  <si>
    <t>Kiegyenlítő, függő, átfutó kiadások össz.</t>
  </si>
  <si>
    <t>Kiadások összesen  (10+11+12)</t>
  </si>
  <si>
    <t>Önkormányzatok sajátos működési bevét.</t>
  </si>
  <si>
    <t>16-tól önkormányzatok sajátos felhalmozási és tőkebevétele</t>
  </si>
  <si>
    <t>Támogatások, kiegészítések és átvett pénzeszközök</t>
  </si>
  <si>
    <t xml:space="preserve">18-ból önkormányzatok költségvetési támogatása </t>
  </si>
  <si>
    <t>Hitelek bevételei</t>
  </si>
  <si>
    <t>Értékpapírok bevételei</t>
  </si>
  <si>
    <t>Pénzforgalmi bevételek összesen (14+15+16+18+20+21)</t>
  </si>
  <si>
    <t>Kiegyenlítő, függő, átfutó bevételek össz.</t>
  </si>
  <si>
    <t>25.</t>
  </si>
  <si>
    <t>Bevételek összesen (22+23+24)</t>
  </si>
  <si>
    <t>13.sz. melléklet</t>
  </si>
  <si>
    <t xml:space="preserve">Kisebbségi önkormányzatok 2009. évi pénzmaradvány kimutatása </t>
  </si>
  <si>
    <t xml:space="preserve">         Megnevezés</t>
  </si>
  <si>
    <t xml:space="preserve"> Összesen</t>
  </si>
  <si>
    <t xml:space="preserve">Egyéb aktiv és passziv pénzügyi </t>
  </si>
  <si>
    <t>elszámolások összevont záró-</t>
  </si>
  <si>
    <t>egyenlege  (+-)</t>
  </si>
  <si>
    <t>Előző év(ek)ben képzett tarta-</t>
  </si>
  <si>
    <t>lékok maradványa (-)</t>
  </si>
  <si>
    <t>Vállalkozási tevékenység pénz-</t>
  </si>
  <si>
    <t>forgalmi eredménye (-)</t>
  </si>
  <si>
    <t>Tárgyévi helyesbített pénz-</t>
  </si>
  <si>
    <t>maradvány (1+-2-3-4)</t>
  </si>
  <si>
    <t>Finanszírozásból származó</t>
  </si>
  <si>
    <t>korrekciók (+-)</t>
  </si>
  <si>
    <t>Pénzmaradvány terhelő el-</t>
  </si>
  <si>
    <t>vonások (+-)</t>
  </si>
  <si>
    <t>Költségvetési pénzmaradvány</t>
  </si>
  <si>
    <t>külön jogszabály alapján</t>
  </si>
  <si>
    <t>módosító tétel (+-)</t>
  </si>
  <si>
    <t>Módosított pénzmaradvány</t>
  </si>
  <si>
    <t>(+-6+-7+8+-9)</t>
  </si>
  <si>
    <t>A 10. sorból az egészség-</t>
  </si>
  <si>
    <t>biztosítási alapból folyósított</t>
  </si>
  <si>
    <t>pénzeszköz maradványa</t>
  </si>
  <si>
    <t>14.sz. melléklet</t>
  </si>
  <si>
    <t>Szolnok Megyei Jogú Város Önkormányzata 2009. évi mérlege</t>
  </si>
  <si>
    <t>Sor szám</t>
  </si>
  <si>
    <t>Előző év (nyitó)</t>
  </si>
  <si>
    <t>Tárgyév</t>
  </si>
  <si>
    <t xml:space="preserve">Változás % pontban </t>
  </si>
  <si>
    <t>állományi érték</t>
  </si>
  <si>
    <t>Alapítás-átszervezés aktivált értéke</t>
  </si>
  <si>
    <t>Kísérleti fejlesztés aktivált értéke</t>
  </si>
  <si>
    <t>Vagyoni értékű jogok</t>
  </si>
  <si>
    <t xml:space="preserve">4. </t>
  </si>
  <si>
    <t>Szellemi termékek</t>
  </si>
  <si>
    <t>Immateriális javakra adott előleg</t>
  </si>
  <si>
    <t>Immateriális javak értékhelyesbítése</t>
  </si>
  <si>
    <t>Immateriális javak összesen</t>
  </si>
  <si>
    <t>Ingatlanok, kapcsolódó vagyoni értékű jogok</t>
  </si>
  <si>
    <t>Gépek, berendezések és felszerelések</t>
  </si>
  <si>
    <t>Járművek</t>
  </si>
  <si>
    <t>Tenyészállatok</t>
  </si>
  <si>
    <t>Beruházások, felújitások</t>
  </si>
  <si>
    <t>Beruházásra adott előlegek</t>
  </si>
  <si>
    <t>Állami készletek, tartalékok</t>
  </si>
  <si>
    <t>Tárgyi eszközök helyesbítése</t>
  </si>
  <si>
    <t>Tárgyi eszközök összesen:</t>
  </si>
  <si>
    <t>Egyéb tartós részesedések</t>
  </si>
  <si>
    <t>Tartós hitelviszonyt megtestesítő értékpapír</t>
  </si>
  <si>
    <t>Tartósan adott kölcsönök</t>
  </si>
  <si>
    <t>Hosszú lejáratú bankbetétek</t>
  </si>
  <si>
    <t>Egyéb hosszú lejáratú követelések</t>
  </si>
  <si>
    <t>Befektetett pénzügyi eszközök értékhelyesbítése</t>
  </si>
  <si>
    <t>Befektetett pénzügyi eszközök összesen</t>
  </si>
  <si>
    <t>Koncesszióba adott eszközök</t>
  </si>
  <si>
    <t>Vagyonkezelésbe adott eszközök</t>
  </si>
  <si>
    <t>Vagyonkezelésbe vett eszközök</t>
  </si>
  <si>
    <t>Üzem-re, kezelésre, koncesszióba, vagyonkez-be vett eszk.ért.helyesb.</t>
  </si>
  <si>
    <t>Üzemeltetésre, kezelésre átadott, koncesszióba adott eszközök</t>
  </si>
  <si>
    <t>A) Befektetett eszközök összesen: (04+10+15+16)</t>
  </si>
  <si>
    <t>Anyagok</t>
  </si>
  <si>
    <t>Befejezetlen termelés és félkész termékek</t>
  </si>
  <si>
    <t>Növendék-, hízó és egyéb állatok</t>
  </si>
  <si>
    <t>Késztermékek</t>
  </si>
  <si>
    <t>5/a.</t>
  </si>
  <si>
    <t>Áruk, betétdíjas göngyölegek, közvetített szolgáltatás</t>
  </si>
  <si>
    <t>5/b.</t>
  </si>
  <si>
    <t>Követelés fejében átvett eszközök és készletek</t>
  </si>
  <si>
    <t>Készletek összesen:</t>
  </si>
  <si>
    <t>Követelések áruszállításból és szolg.ból (vevők)</t>
  </si>
  <si>
    <t>Adósok</t>
  </si>
  <si>
    <t>Rövid lejárítú kölcsönök</t>
  </si>
  <si>
    <t>Egyéb követelések</t>
  </si>
  <si>
    <t>Ebből:</t>
  </si>
  <si>
    <t>Kölcs.tárgyévet követő évbeni részlet</t>
  </si>
  <si>
    <t>E.hl.köv-ből mérlegfn.köv.egy éven belül esedékes részletek</t>
  </si>
  <si>
    <t>Támogatási program előlege</t>
  </si>
  <si>
    <t>Támogatási programok szabálytalan kifizetése miatti követelés</t>
  </si>
  <si>
    <t>Garancia és kezességvállalásból származó követelések</t>
  </si>
  <si>
    <t>Követelések összesen:</t>
  </si>
  <si>
    <t>Egyéb részesedés</t>
  </si>
  <si>
    <t>Forg.célú hitelviszonyt megtestesítő értékpapirok</t>
  </si>
  <si>
    <t xml:space="preserve">III. </t>
  </si>
  <si>
    <t>Értékpapírok összesen:</t>
  </si>
  <si>
    <t>Pénztárak, csekkek, betétkönyvek</t>
  </si>
  <si>
    <t>Költségvetési bankszámlák</t>
  </si>
  <si>
    <t>Elszámolási számlák</t>
  </si>
  <si>
    <t>Idegen pénzeszközök számlái</t>
  </si>
  <si>
    <t>Pénzeszközök összesen:</t>
  </si>
  <si>
    <t>Költségvetési aktív függő elszámolások</t>
  </si>
  <si>
    <t>Költségvetési aktív átfutó elszámolások</t>
  </si>
  <si>
    <t>Költségvetési aktív kiegyenlítő elszámolások</t>
  </si>
  <si>
    <t xml:space="preserve">Költségv. kívüli aktív függő, átfutó és kiegy.elszám. </t>
  </si>
  <si>
    <t>Egyéb aktív pénzügyi elszámolások összesen:</t>
  </si>
  <si>
    <t>B) Forgóeszközök összesen (24+29+34+39+45)</t>
  </si>
  <si>
    <t>ESZKÖZÖK ÖSSZESEN (17+46)</t>
  </si>
  <si>
    <t>Változás %pontban</t>
  </si>
  <si>
    <t>Tőkeváltozások</t>
  </si>
  <si>
    <t>Értékelési tartalék</t>
  </si>
  <si>
    <t>D) Saját tőke összesen (48+49)</t>
  </si>
  <si>
    <t>Költségvetési tartalék elszámolása</t>
  </si>
  <si>
    <t>Ebből: Tárgyévi költségvetési tartalék elszámolása</t>
  </si>
  <si>
    <t>Előző évi költségvetési tartalékának elszámolása</t>
  </si>
  <si>
    <t>Kiadási megtakarítás</t>
  </si>
  <si>
    <t>Bevételi lemaradás</t>
  </si>
  <si>
    <t>Előirányzat-maradvány</t>
  </si>
  <si>
    <t>Költségvetési tartalékok összesen:</t>
  </si>
  <si>
    <t>Vállakozási tartalék elszámolása</t>
  </si>
  <si>
    <t>Ebből: Tárgyévi vállakozási tartalék elszámolása</t>
  </si>
  <si>
    <t>Előző évek vállakozási tartalékának elszámolása</t>
  </si>
  <si>
    <t>Vállakozási tevékenység eredménye</t>
  </si>
  <si>
    <t>Vállakozási tevékenység kiadási megtakarítása</t>
  </si>
  <si>
    <t>Vállakozási tevékenység bevételi lemaradása</t>
  </si>
  <si>
    <t>Vállalkozási tartalékok összesen</t>
  </si>
  <si>
    <t>E) Tartalékok összesen (58+65)</t>
  </si>
  <si>
    <t>Hosszú lejáratra kapott kölcsönök</t>
  </si>
  <si>
    <t>Tartozás fejlesztési célú kötvénykibocsátásból</t>
  </si>
  <si>
    <t>Tartozás működési célú kötvénykibocsátásból</t>
  </si>
  <si>
    <t>Beruházási és fejlesztési hitelek</t>
  </si>
  <si>
    <t>Működési célú hosszú lejáratú hitelek</t>
  </si>
  <si>
    <t>Egyéb hosszú lejáratú kötelezettségek</t>
  </si>
  <si>
    <t>Hosszú lejáratú kötelezettségek összesen</t>
  </si>
  <si>
    <t>Rövid lejáratú kölcsönök</t>
  </si>
  <si>
    <t>Kötelezettségek áruszállításból és szolgáltatásból (szállító)</t>
  </si>
  <si>
    <t>Tárgyévi költségvetési szállítói kötelezettség</t>
  </si>
  <si>
    <t>Tárgyévet követő év szállítói kötelezettség</t>
  </si>
  <si>
    <t>Egyéb rövid lejáratú kötelezettségek</t>
  </si>
  <si>
    <t xml:space="preserve">Ebből: </t>
  </si>
  <si>
    <t>Váltótartozások</t>
  </si>
  <si>
    <t>Munkavállalókkal szembeni különféle kötelezettségek</t>
  </si>
  <si>
    <t>Költségvetéssel szembeni kötelezettségek</t>
  </si>
  <si>
    <t>Iparűzési adó feltöltés miatti kötelezettségek</t>
  </si>
  <si>
    <t>Helyi adó túlfizetés</t>
  </si>
  <si>
    <t>Támogatási program előlege miatti kötelezettség</t>
  </si>
  <si>
    <t>Szabálytalan kifizetések miatti kötelezettségek</t>
  </si>
  <si>
    <t>Garancia és kezességvállalásból származó kötelezettség</t>
  </si>
  <si>
    <t>Hosszú lejáratra kapott kölcsön köv.évi törlesztése</t>
  </si>
  <si>
    <t>Felhalmozási célú kötv.kibocsátásból szárm.tart.köv.évi törlesztése</t>
  </si>
  <si>
    <t>Működési célú kötv.kibocsátásból szárm.tart.köv.évi törlesztése</t>
  </si>
  <si>
    <t>Beruházás, fejlesztési hitel köv.évi törlesztés</t>
  </si>
  <si>
    <t>Működési célú hosszú lejáratú hitelek köv.évi törlesztése</t>
  </si>
  <si>
    <t>Egyéb hosszú lejáratú kötelezettség köv. évi törlesztése</t>
  </si>
  <si>
    <t>Tárgyévi költségvetést terhelő egyéb rövid lejáratú köt.</t>
  </si>
  <si>
    <t>Tárgyévet követő évet terhelő egyéb rövid lejáratú köt.</t>
  </si>
  <si>
    <t>Egyéb különféle kötelezettségek</t>
  </si>
  <si>
    <t>Rövid lejáratú kötelezettségek összesen</t>
  </si>
  <si>
    <t>Költségvetési passzív függő elszámolások</t>
  </si>
  <si>
    <t>Költségvetési passzív átfutó elszámolások</t>
  </si>
  <si>
    <t>Költségvetési passzív kiegyenlítő elszámolások</t>
  </si>
  <si>
    <t>Költségv. kívüli passzív pénzügyi elszámolások</t>
  </si>
  <si>
    <t>Költségvetésen kívüli letéti elszámolások</t>
  </si>
  <si>
    <t>Nemzetközi tám.prog.dev.elszámolások</t>
  </si>
  <si>
    <t>Egyéb passzív pénzügyi elszámolások összesen:</t>
  </si>
  <si>
    <t>F) Kötelezettségek összesen</t>
  </si>
  <si>
    <t>FORRÁSOK ÖSSZESEN (50+66+90)</t>
  </si>
  <si>
    <t>15. sz. melléklet</t>
  </si>
  <si>
    <t>Jász-Nagykun-Szolnok Szakképzés-szervezési Társulás</t>
  </si>
  <si>
    <t>16. sz. melléklet</t>
  </si>
  <si>
    <t>17. sz. melléklet</t>
  </si>
  <si>
    <t>2009. évi egyszerűsített pénzforgalmi jelentése</t>
  </si>
  <si>
    <t>2009. évi egyszerűsített pénzmaradvány kimutatása</t>
  </si>
  <si>
    <t>A vállalkozási tevékenység eredményéből</t>
  </si>
  <si>
    <t>alaptevékenység ellátására felhasznált összeg</t>
  </si>
  <si>
    <t>2009. évi  egyszerűsített pénzmaradványkimutatás</t>
  </si>
  <si>
    <t>Adatok: ezer forintban!</t>
  </si>
  <si>
    <t>Sorszám</t>
  </si>
  <si>
    <t>Bruttó</t>
  </si>
  <si>
    <t xml:space="preserve">Könyv szerinti </t>
  </si>
  <si>
    <t xml:space="preserve">Becsült </t>
  </si>
  <si>
    <t xml:space="preserve"> I. Immateriális javak   (02+09+12+13+14)</t>
  </si>
  <si>
    <t>1. Törzsvagyon     (03+06)</t>
  </si>
  <si>
    <t>1.1. Forgalomképtelen immateriális javak   (04+05)</t>
  </si>
  <si>
    <t xml:space="preserve">       1.1.1. Értékkel nyilvántartott forgalomképtelen immateriális javak</t>
  </si>
  <si>
    <t xml:space="preserve">       1.1.2. 0-ig leírt forgalomképtelen immateriális javak</t>
  </si>
  <si>
    <t>1.2. Korlátozottan forgalomkép. immat. javak  (07+08)</t>
  </si>
  <si>
    <t xml:space="preserve">       1.2.1. Értékkel nyilvántartott korlátozottan forgalomkép. immateriális javak</t>
  </si>
  <si>
    <t xml:space="preserve">       1.2.2. 0-ig leírt korlátozottan forgalomképes immateriális javak</t>
  </si>
  <si>
    <t>2. Forgalomképes immateriális javak     (10+11)</t>
  </si>
  <si>
    <t xml:space="preserve">       2.1.1. Értékkel nyilvántartott forgalomképes immateriális javak</t>
  </si>
  <si>
    <t xml:space="preserve">       2.1.2. 0-ig leírt forgalomképes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</si>
  <si>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</si>
  <si>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</si>
  <si>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</si>
  <si>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</si>
  <si>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</si>
  <si>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</si>
  <si>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</si>
  <si>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</si>
  <si>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</si>
  <si>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</si>
  <si>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</si>
  <si>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</si>
  <si>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</si>
  <si>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</si>
  <si>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</si>
  <si>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26.</t>
  </si>
  <si>
    <t>1.1.3.2.  0-ig leírt parkok, játszóterek</t>
  </si>
  <si>
    <t>27.</t>
  </si>
  <si>
    <t>1.1.4. Folyók, vízfolyások, természetes és mestersége tavak   (29+30)</t>
  </si>
  <si>
    <t>28.</t>
  </si>
  <si>
    <t>1.1.1.1.  Értékkel nyilvántartott folyók, vízfolyások, term. és mest. tavak</t>
  </si>
  <si>
    <t>29.</t>
  </si>
  <si>
    <t>1.1.1.2.  0-ig leírt folyók, vízfolyások, term. és mest. tavak</t>
  </si>
  <si>
    <t>30.</t>
  </si>
  <si>
    <t>1.1.5. Árvízvédelmi töltések, belvízcsatornák    (32+33)</t>
  </si>
  <si>
    <t>31.</t>
  </si>
  <si>
    <t>1.1.5.1.  Értékkel nyilvántartott árvízvédelmi töltések, belvízcsatornák</t>
  </si>
  <si>
    <t>32.</t>
  </si>
  <si>
    <t>1.1.5.2.  0-ig leírt árvízvédelmi töltések, belvízcsatornák</t>
  </si>
  <si>
    <t>33.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</si>
  <si>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</si>
  <si>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</si>
  <si>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</si>
  <si>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</si>
  <si>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</si>
  <si>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</si>
  <si>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</si>
  <si>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</si>
  <si>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</si>
  <si>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</si>
  <si>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</si>
  <si>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</si>
  <si>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</si>
  <si>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</si>
  <si>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</si>
  <si>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</si>
  <si>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</si>
  <si>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</si>
  <si>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</si>
  <si>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</si>
  <si>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</si>
  <si>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</si>
  <si>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</si>
  <si>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</si>
  <si>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</si>
  <si>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</si>
  <si>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</si>
  <si>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</si>
  <si>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</si>
  <si>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</si>
  <si>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</si>
  <si>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</si>
  <si>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</si>
  <si>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</si>
  <si>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</si>
  <si>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</si>
  <si>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</si>
  <si>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</si>
  <si>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</si>
  <si>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</si>
  <si>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</si>
  <si>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</si>
  <si>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</si>
  <si>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</si>
  <si>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</si>
  <si>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</si>
  <si>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</si>
  <si>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</si>
  <si>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</si>
  <si>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</si>
  <si>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</si>
  <si>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</si>
  <si>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</si>
  <si>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</si>
  <si>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</si>
  <si>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</si>
  <si>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</si>
  <si>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</si>
  <si>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</si>
  <si>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</si>
  <si>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</si>
  <si>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</si>
  <si>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</si>
  <si>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</si>
  <si>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</si>
  <si>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</si>
  <si>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</si>
  <si>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</si>
  <si>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</si>
  <si>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</si>
  <si>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</si>
  <si>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</si>
  <si>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</si>
  <si>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</si>
  <si>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</si>
  <si>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</si>
  <si>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</si>
  <si>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</si>
  <si>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2.Forgalomképes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</si>
  <si>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</si>
  <si>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</si>
  <si>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</si>
  <si>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</si>
  <si>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</si>
  <si>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</si>
  <si>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</si>
  <si>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</si>
  <si>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</si>
  <si>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</si>
  <si>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</si>
  <si>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</si>
  <si>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</si>
  <si>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</si>
  <si>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</si>
  <si>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</si>
  <si>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</si>
  <si>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</si>
  <si>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</si>
  <si>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forgalomképes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</si>
  <si>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</si>
  <si>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</si>
  <si>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</si>
  <si>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</si>
  <si>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</si>
  <si>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</si>
  <si>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</si>
  <si>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</si>
  <si>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</si>
  <si>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</si>
  <si>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</si>
  <si>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</si>
  <si>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</si>
  <si>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</si>
  <si>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</si>
  <si>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</si>
  <si>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</si>
  <si>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</si>
  <si>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</si>
  <si>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</si>
  <si>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</si>
  <si>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</si>
  <si>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</si>
  <si>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</si>
  <si>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</si>
  <si>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</si>
  <si>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</si>
  <si>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</si>
  <si>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</si>
  <si>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Forgalomképes gépek, berendezések és felszerelések  (99+102)</t>
  </si>
  <si>
    <t>98.</t>
  </si>
  <si>
    <t>2.1. Forgalomképes gépek, berendezések és felszerelések állománya  (100+101)</t>
  </si>
  <si>
    <t>99.</t>
  </si>
  <si>
    <t>2.1.1.  Értékkel nyilvántartott forgalomképes gép, berendezés és felszerelés</t>
  </si>
  <si>
    <t>100.</t>
  </si>
  <si>
    <t>2.1.2.  0-ig leírt forgalomképes gép, berendezés és felszerelés</t>
  </si>
  <si>
    <t>101.</t>
  </si>
  <si>
    <t>2.2. Folyamatban lévő forgalomképes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</si>
  <si>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</si>
  <si>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</si>
  <si>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</si>
  <si>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</si>
  <si>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</si>
  <si>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</si>
  <si>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</si>
  <si>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</si>
  <si>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</si>
  <si>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</si>
  <si>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</si>
  <si>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</si>
  <si>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</si>
  <si>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</si>
  <si>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</si>
  <si>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</si>
  <si>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</si>
  <si>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</si>
  <si>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</si>
  <si>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</si>
  <si>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</si>
  <si>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</si>
  <si>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</si>
  <si>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</si>
  <si>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</si>
  <si>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</si>
  <si>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</si>
  <si>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</si>
  <si>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</si>
  <si>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</si>
  <si>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</si>
  <si>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Forgalomképes járművek   (119+122)</t>
  </si>
  <si>
    <t>118.</t>
  </si>
  <si>
    <t>2.1. Forgalomképes járművek állománya  (120+121)</t>
  </si>
  <si>
    <t>119.</t>
  </si>
  <si>
    <t>2.1.1.1.  Értékkel nyilvántartott forgalomképes járművek</t>
  </si>
  <si>
    <t>120.</t>
  </si>
  <si>
    <t>2.1.1.2.  0-ig leírt forgalomképes járművek</t>
  </si>
  <si>
    <t>121.</t>
  </si>
  <si>
    <t>2.2. Folyamatban lévő forgalomképes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</si>
  <si>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</si>
  <si>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</si>
  <si>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</si>
  <si>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</si>
  <si>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</si>
  <si>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</si>
  <si>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</si>
  <si>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Forgalomképes tenyészállatok   (127+130)</t>
  </si>
  <si>
    <t>126.</t>
  </si>
  <si>
    <t>1.1. Forgalomképes tenyészállatok állománya  (128+129)</t>
  </si>
  <si>
    <t>127.</t>
  </si>
  <si>
    <t>1.1.1.  Értékkel nyilvántartott forgalomképes tenyészállatok</t>
  </si>
  <si>
    <t>128.</t>
  </si>
  <si>
    <t>1.1.2.  0-ig leírt forgalomképes tenyészállatok</t>
  </si>
  <si>
    <t>129.</t>
  </si>
  <si>
    <t>1.2. Folyamatban lévő forgalomképes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</si>
  <si>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</si>
  <si>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</si>
  <si>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</si>
  <si>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</si>
  <si>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</si>
  <si>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</si>
  <si>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</si>
  <si>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</si>
  <si>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</si>
  <si>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</si>
  <si>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</si>
  <si>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</si>
  <si>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Forgalomképes egyéb tartós részesedés</t>
  </si>
  <si>
    <t>137.</t>
  </si>
  <si>
    <t>3. Egyéb forgalomképes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</si>
  <si>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</si>
  <si>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</si>
  <si>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</si>
  <si>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</si>
  <si>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</si>
  <si>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</si>
  <si>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</si>
  <si>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</si>
  <si>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</si>
  <si>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</si>
  <si>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</si>
  <si>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</si>
  <si>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</si>
  <si>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</si>
  <si>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</si>
  <si>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 xml:space="preserve">   1.0 Törzsvagyon üzemeltetésre kezelésre átadott, koncesszióba adott immateriális javak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</si>
  <si>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</si>
  <si>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</si>
  <si>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</si>
  <si>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</si>
  <si>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</si>
  <si>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</si>
  <si>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</si>
  <si>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</si>
  <si>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</si>
  <si>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</si>
  <si>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</si>
  <si>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</si>
  <si>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</si>
  <si>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</si>
  <si>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</si>
  <si>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</si>
  <si>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</si>
  <si>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</si>
  <si>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</si>
  <si>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</si>
  <si>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</si>
  <si>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</si>
  <si>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</si>
  <si>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</si>
  <si>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</si>
  <si>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</si>
  <si>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</si>
  <si>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</si>
  <si>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</si>
  <si>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</si>
  <si>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</si>
  <si>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</si>
  <si>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</si>
  <si>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</si>
  <si>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</si>
  <si>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Forgalomképes  üzemeltetésre átadott, konc. adott, vagyonkezelésbe vett eszközök               (165+168+171+174)</t>
  </si>
  <si>
    <t>164.</t>
  </si>
  <si>
    <t>2.1. Forgalomképes (üzemelt. kezelésre  konc. adott, vagyonk. vett épület, építmény) (166+167)</t>
  </si>
  <si>
    <t>165.</t>
  </si>
  <si>
    <t>2.1.1.  Értékkel nyilvántartott forgalomképes üzem.adott épület, építmény</t>
  </si>
  <si>
    <t>166.</t>
  </si>
  <si>
    <t>2.1.2.  0-ig leírt forgalomképes üzem.adott épület, építmény</t>
  </si>
  <si>
    <t>167.</t>
  </si>
  <si>
    <t>2.2. Forgalomképes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</si>
  <si>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</si>
  <si>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</si>
  <si>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</si>
  <si>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</si>
  <si>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</si>
  <si>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Forgalomképes  üzemelt, konc. adott, vagyonk. vett járművek  (172+173)</t>
  </si>
  <si>
    <t>171.</t>
  </si>
  <si>
    <t>2.3.1.  Értékkel nyilvántartott forgalomképes üzem. adott járművek</t>
  </si>
  <si>
    <t>172.</t>
  </si>
  <si>
    <t>2.3.2.  0-ig leírt forgalomképes. üzem.adott járművek</t>
  </si>
  <si>
    <t>173.</t>
  </si>
  <si>
    <t>2.4. Forgalomképes  üzemelt, konc. adott, vagyonk. vett tenyészállatok  (175+176)</t>
  </si>
  <si>
    <t>174.</t>
  </si>
  <si>
    <t>2.4.1.  Értékkel nyilvántartott forgalomképes üzem. adott tenyészállatok</t>
  </si>
  <si>
    <t>175.</t>
  </si>
  <si>
    <t>2.4.2.  0-ig leírt forgalomképes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</si>
  <si>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</si>
  <si>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</si>
  <si>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</si>
  <si>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</si>
  <si>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</si>
  <si>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</si>
  <si>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</si>
  <si>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</si>
  <si>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</si>
  <si>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</si>
  <si>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</si>
  <si>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</si>
  <si>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</si>
  <si>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</si>
  <si>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</si>
  <si>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</si>
  <si>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</si>
  <si>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</si>
  <si>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</si>
  <si>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</si>
  <si>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</si>
  <si>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</si>
  <si>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</si>
  <si>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</si>
  <si>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</si>
  <si>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</si>
  <si>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</si>
  <si>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</si>
  <si>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</si>
  <si>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</si>
  <si>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</si>
  <si>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</si>
  <si>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</si>
  <si>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</si>
  <si>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</si>
  <si>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</si>
  <si>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</si>
  <si>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</si>
  <si>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</si>
  <si>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</si>
  <si>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</si>
  <si>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</si>
  <si>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</si>
  <si>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</si>
  <si>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</si>
  <si>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</si>
  <si>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</si>
  <si>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</si>
  <si>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</si>
  <si>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</si>
  <si>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</si>
  <si>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</si>
  <si>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</si>
  <si>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</si>
  <si>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</si>
  <si>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</si>
  <si>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</si>
  <si>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</si>
  <si>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</si>
  <si>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</si>
  <si>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</si>
  <si>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</si>
  <si>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</si>
  <si>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</si>
  <si>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</si>
  <si>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</si>
  <si>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</si>
  <si>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</si>
  <si>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</si>
  <si>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</si>
  <si>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</si>
  <si>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</si>
  <si>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</si>
  <si>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</si>
  <si>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</si>
  <si>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</si>
  <si>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</si>
  <si>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</si>
  <si>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</si>
  <si>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</si>
  <si>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</si>
  <si>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</si>
  <si>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</si>
  <si>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</si>
  <si>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</si>
  <si>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</si>
  <si>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</si>
  <si>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</si>
  <si>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</si>
  <si>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</si>
  <si>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</si>
  <si>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</si>
  <si>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</si>
  <si>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</si>
  <si>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</si>
  <si>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</si>
  <si>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</si>
  <si>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</si>
  <si>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</si>
  <si>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</si>
  <si>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</si>
  <si>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</si>
  <si>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</si>
  <si>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</si>
  <si>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</si>
  <si>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</si>
  <si>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</si>
  <si>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</si>
  <si>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</si>
  <si>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</si>
  <si>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</si>
  <si>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</si>
  <si>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</si>
  <si>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</si>
  <si>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</si>
  <si>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</si>
  <si>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</si>
  <si>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</si>
  <si>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</si>
  <si>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</si>
  <si>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</si>
  <si>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</si>
  <si>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</si>
  <si>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</si>
  <si>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</si>
  <si>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</si>
  <si>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</si>
  <si>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</si>
  <si>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</si>
  <si>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</si>
  <si>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</si>
  <si>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</si>
  <si>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</si>
  <si>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</si>
  <si>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1.1. Költségvetési elszámolási számla</t>
  </si>
  <si>
    <t>243.</t>
  </si>
  <si>
    <t>1.2. Adóbeszedéssel kapcsolatos számlál</t>
  </si>
  <si>
    <t>244.</t>
  </si>
  <si>
    <t>1.3. Költségvetési elszámolási számla</t>
  </si>
  <si>
    <t>245.</t>
  </si>
  <si>
    <t>1.4. Lakásépítés és vásárlás munkáltatói támogatás számla</t>
  </si>
  <si>
    <t>246.</t>
  </si>
  <si>
    <t>1.5. Részben önálló költségvetési szervek bankszámlái</t>
  </si>
  <si>
    <t>247.</t>
  </si>
  <si>
    <t>1.6. Kihelyezett költségvetési elszámolásai számla</t>
  </si>
  <si>
    <t>248.</t>
  </si>
  <si>
    <t>1.7. Önkormányzati kincstári finanszírozási elszámolási számla</t>
  </si>
  <si>
    <t>249.</t>
  </si>
  <si>
    <t>1.8.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</si>
  <si>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</si>
  <si>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</si>
  <si>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</si>
  <si>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</si>
  <si>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</si>
  <si>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</si>
  <si>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</si>
  <si>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</si>
  <si>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</si>
  <si>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</si>
  <si>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</si>
  <si>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</si>
  <si>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</si>
  <si>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</si>
  <si>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</si>
  <si>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</si>
  <si>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</si>
  <si>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</si>
  <si>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</si>
  <si>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</si>
  <si>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</si>
  <si>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</si>
  <si>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</si>
  <si>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</si>
  <si>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</si>
  <si>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állományi 
érték</t>
  </si>
  <si>
    <t>1</t>
  </si>
  <si>
    <t>2</t>
  </si>
  <si>
    <t>3</t>
  </si>
  <si>
    <t xml:space="preserve">1. Induló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</si>
  <si>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</si>
  <si>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</si>
  <si>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</si>
  <si>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</si>
  <si>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</si>
  <si>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</si>
  <si>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</si>
  <si>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</si>
  <si>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</si>
  <si>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</si>
  <si>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</si>
  <si>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</si>
  <si>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</si>
  <si>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</si>
  <si>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</si>
  <si>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</si>
  <si>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</si>
  <si>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</si>
  <si>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</si>
  <si>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</si>
  <si>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</si>
  <si>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</si>
  <si>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</si>
  <si>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</si>
  <si>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</si>
  <si>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</si>
  <si>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</si>
  <si>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</si>
  <si>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</si>
  <si>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</si>
  <si>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</si>
  <si>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</si>
  <si>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</si>
  <si>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</si>
  <si>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</si>
  <si>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</si>
  <si>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</si>
  <si>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Összesen:</t>
  </si>
  <si>
    <t>Költségvetési pénzmaradvány (6 ± 7 ± 8)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</si>
</sst>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  <numFmt numFmtId="167" formatCode="#,###.0"/>
    <numFmt numFmtId="168" formatCode="#,###.00"/>
    <numFmt numFmtId="169" formatCode="#,###.000"/>
    <numFmt numFmtId="170" formatCode="#,###.0000"/>
    <numFmt numFmtId="171" formatCode="#,##0\ _F_t"/>
    <numFmt numFmtId="172" formatCode="#,##0.0"/>
    <numFmt numFmtId="173" formatCode="yyyy\-mm\-dd"/>
    <numFmt numFmtId="174" formatCode="yyyy/\ mmm\."/>
    <numFmt numFmtId="175" formatCode="0.0"/>
    <numFmt numFmtId="176" formatCode="\-"/>
    <numFmt numFmtId="177" formatCode="#,##0;\-#,##0"/>
    <numFmt numFmtId="178" formatCode="#,###__;&quot;- &quot;#,###__"/>
    <numFmt numFmtId="179" formatCode="00"/>
    <numFmt numFmtId="180" formatCode="#"/>
    <numFmt numFmtId="181" formatCode="#,###\ _F_t;\-#,###\ _F_t"/>
    <numFmt numFmtId="182" formatCode="#,###__;\-\ #,###__"/>
    <numFmt numFmtId="183" formatCode="#,###__"/>
    <numFmt numFmtId="184" formatCode="#,###__;\-#,###__"/>
    <numFmt numFmtId="185" formatCode="#,##0.00\ _F_t;\-\ #,##0.00\ _F_t"/>
    <numFmt numFmtId="186" formatCode="_-* #,##0\ &quot;Ft&quot;_-;\-* #,##0\ &quot;Ft&quot;_-;_-* &quot;-&quot;??\ &quot;Ft&quot;_-;_-@_-"/>
    <numFmt numFmtId="187" formatCode="#,##0\ &quot;Ft&quot;"/>
    <numFmt numFmtId="188" formatCode="_-* #,##0.0\ &quot;Ft&quot;_-;\-* #,##0.0\ &quot;Ft&quot;_-;_-* &quot;-&quot;??\ &quot;Ft&quot;_-;_-@_-"/>
    <numFmt numFmtId="189" formatCode="_-* #,##0.0\ _F_t_-;\-* #,##0.0\ _F_t_-;_-* &quot;-&quot;??\ _F_t_-;_-@_-"/>
    <numFmt numFmtId="190" formatCode="_-* #,##0\ _F_t_-;\-* #,##0\ _F_t_-;_-* &quot;-&quot;??\ _F_t_-;_-@_-"/>
    <numFmt numFmtId="191" formatCode="&quot;Igen&quot;;&quot;Igen&quot;;&quot;Nem&quot;"/>
    <numFmt numFmtId="192" formatCode="&quot;Igaz&quot;;&quot;Igaz&quot;;&quot;Hamis&quot;"/>
    <numFmt numFmtId="193" formatCode="&quot;Be&quot;;&quot;Be&quot;;&quot;Ki&quot;"/>
  </numFmts>
  <fonts count="73">
    <font>
      <sz val="10"/>
      <name val="Arial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Times New Roman"/>
      <family val="2"/>
    </font>
    <font>
      <sz val="11"/>
      <color indexed="62"/>
      <name val="Calibri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sz val="11"/>
      <color indexed="52"/>
      <name val="Calibri"/>
      <family val="2"/>
    </font>
    <font>
      <i/>
      <sz val="11"/>
      <color indexed="23"/>
      <name val="Times New Roman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name val="Arial CE"/>
      <family val="2"/>
    </font>
    <font>
      <sz val="12"/>
      <name val="Times New Roman"/>
      <family val="1"/>
    </font>
    <font>
      <sz val="12"/>
      <name val="Times New Roman CE"/>
      <family val="1"/>
    </font>
    <font>
      <sz val="10"/>
      <name val="Times New Roman"/>
      <family val="1"/>
    </font>
    <font>
      <sz val="12"/>
      <name val="Arial CE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Calibri"/>
      <family val="2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0"/>
      <name val="Arial CE"/>
      <family val="2"/>
    </font>
    <font>
      <sz val="8"/>
      <name val="Times New Roman CE"/>
      <family val="1"/>
    </font>
    <font>
      <b/>
      <sz val="12"/>
      <name val="Arial CE"/>
      <family val="2"/>
    </font>
    <font>
      <b/>
      <sz val="10"/>
      <name val="Times New Roman CE"/>
      <family val="1"/>
    </font>
    <font>
      <b/>
      <sz val="6"/>
      <name val="Times New Roman CE"/>
      <family val="1"/>
    </font>
    <font>
      <b/>
      <i/>
      <sz val="8"/>
      <name val="Times New Roman CE"/>
      <family val="1"/>
    </font>
    <font>
      <b/>
      <sz val="11"/>
      <name val="Arial CE"/>
      <family val="2"/>
    </font>
    <font>
      <sz val="14"/>
      <name val="Times New Roman CE"/>
      <family val="1"/>
    </font>
    <font>
      <sz val="14"/>
      <name val="Arial CE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9"/>
      <name val="Times New Roman"/>
      <family val="1"/>
    </font>
    <font>
      <b/>
      <i/>
      <sz val="9"/>
      <name val="Times New Roman CE"/>
      <family val="1"/>
    </font>
    <font>
      <i/>
      <sz val="8"/>
      <name val="Times New Roman"/>
      <family val="1"/>
    </font>
    <font>
      <sz val="12"/>
      <color indexed="10"/>
      <name val="Times New Roman"/>
      <family val="0"/>
    </font>
    <font>
      <b/>
      <sz val="10"/>
      <name val="Arial"/>
      <family val="2"/>
    </font>
    <font>
      <b/>
      <i/>
      <sz val="10"/>
      <name val="Times New Roman CE"/>
      <family val="1"/>
    </font>
    <font>
      <i/>
      <sz val="8"/>
      <name val="Times New Roman CE"/>
      <family val="1"/>
    </font>
    <font>
      <b/>
      <sz val="9"/>
      <name val="Times New Roman"/>
      <family val="0"/>
    </font>
    <font>
      <b/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7" borderId="1" applyNumberFormat="0" applyAlignment="0" applyProtection="0"/>
    <xf numFmtId="0" fontId="0" fillId="22" borderId="7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8" applyNumberFormat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33" fillId="0" borderId="0">
      <alignment/>
      <protection/>
    </xf>
    <xf numFmtId="0" fontId="0" fillId="22" borderId="7" applyNumberFormat="0" applyAlignment="0" applyProtection="0"/>
    <xf numFmtId="0" fontId="34" fillId="20" borderId="8" applyNumberFormat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33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/>
      <protection/>
    </xf>
    <xf numFmtId="0" fontId="38" fillId="20" borderId="1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56">
    <xf numFmtId="0" fontId="0" fillId="0" borderId="0" xfId="0" applyAlignment="1">
      <alignment/>
    </xf>
    <xf numFmtId="0" fontId="33" fillId="0" borderId="0" xfId="111" applyFont="1" applyFill="1" applyAlignment="1">
      <alignment horizontal="right"/>
      <protection/>
    </xf>
    <xf numFmtId="0" fontId="33" fillId="0" borderId="0" xfId="111" applyFont="1" applyFill="1">
      <alignment/>
      <protection/>
    </xf>
    <xf numFmtId="0" fontId="28" fillId="0" borderId="0" xfId="111" applyFill="1">
      <alignment/>
      <protection/>
    </xf>
    <xf numFmtId="0" fontId="31" fillId="0" borderId="0" xfId="111" applyFont="1" applyFill="1" applyAlignment="1">
      <alignment horizontal="right"/>
      <protection/>
    </xf>
    <xf numFmtId="0" fontId="32" fillId="0" borderId="0" xfId="111" applyFont="1" applyFill="1">
      <alignment/>
      <protection/>
    </xf>
    <xf numFmtId="0" fontId="40" fillId="0" borderId="0" xfId="111" applyFont="1" applyFill="1" applyAlignment="1">
      <alignment horizontal="center" vertical="center"/>
      <protection/>
    </xf>
    <xf numFmtId="0" fontId="30" fillId="0" borderId="0" xfId="111" applyFont="1" applyFill="1" applyAlignment="1">
      <alignment horizontal="center" vertical="center"/>
      <protection/>
    </xf>
    <xf numFmtId="0" fontId="41" fillId="0" borderId="10" xfId="111" applyFont="1" applyFill="1" applyBorder="1" applyAlignment="1">
      <alignment horizontal="center" vertical="center" wrapText="1"/>
      <protection/>
    </xf>
    <xf numFmtId="0" fontId="42" fillId="0" borderId="10" xfId="111" applyFont="1" applyFill="1" applyBorder="1" applyAlignment="1">
      <alignment horizontal="center" vertical="center" wrapText="1"/>
      <protection/>
    </xf>
    <xf numFmtId="177" fontId="42" fillId="0" borderId="10" xfId="111" applyNumberFormat="1" applyFont="1" applyFill="1" applyBorder="1" applyAlignment="1">
      <alignment horizontal="left" vertical="center" indent="1"/>
      <protection/>
    </xf>
    <xf numFmtId="0" fontId="42" fillId="0" borderId="10" xfId="111" applyFont="1" applyFill="1" applyBorder="1" applyAlignment="1">
      <alignment horizontal="left" vertical="center" indent="1"/>
      <protection/>
    </xf>
    <xf numFmtId="178" fontId="42" fillId="0" borderId="10" xfId="111" applyNumberFormat="1" applyFont="1" applyFill="1" applyBorder="1" applyAlignment="1">
      <alignment horizontal="right" vertical="center"/>
      <protection/>
    </xf>
    <xf numFmtId="178" fontId="42" fillId="0" borderId="10" xfId="111" applyNumberFormat="1" applyFont="1" applyFill="1" applyBorder="1" applyAlignment="1">
      <alignment vertical="center"/>
      <protection/>
    </xf>
    <xf numFmtId="0" fontId="43" fillId="0" borderId="0" xfId="111" applyFont="1" applyFill="1" applyAlignment="1">
      <alignment vertical="center"/>
      <protection/>
    </xf>
    <xf numFmtId="177" fontId="44" fillId="0" borderId="11" xfId="111" applyNumberFormat="1" applyFont="1" applyFill="1" applyBorder="1" applyAlignment="1">
      <alignment horizontal="left" indent="1"/>
      <protection/>
    </xf>
    <xf numFmtId="0" fontId="44" fillId="0" borderId="11" xfId="111" applyFont="1" applyFill="1" applyBorder="1" applyAlignment="1">
      <alignment horizontal="left" indent="3"/>
      <protection/>
    </xf>
    <xf numFmtId="178" fontId="44" fillId="0" borderId="11" xfId="68" applyNumberFormat="1" applyFont="1" applyFill="1" applyBorder="1" applyAlignment="1" applyProtection="1">
      <alignment horizontal="right"/>
      <protection locked="0"/>
    </xf>
    <xf numFmtId="178" fontId="44" fillId="0" borderId="11" xfId="111" applyNumberFormat="1" applyFont="1" applyFill="1" applyBorder="1">
      <alignment/>
      <protection/>
    </xf>
    <xf numFmtId="177" fontId="44" fillId="0" borderId="12" xfId="111" applyNumberFormat="1" applyFont="1" applyFill="1" applyBorder="1" applyAlignment="1">
      <alignment horizontal="left" indent="1"/>
      <protection/>
    </xf>
    <xf numFmtId="0" fontId="44" fillId="0" borderId="12" xfId="111" applyFont="1" applyFill="1" applyBorder="1" applyAlignment="1">
      <alignment horizontal="left" indent="3"/>
      <protection/>
    </xf>
    <xf numFmtId="178" fontId="44" fillId="0" borderId="12" xfId="68" applyNumberFormat="1" applyFont="1" applyFill="1" applyBorder="1" applyAlignment="1" applyProtection="1">
      <alignment/>
      <protection locked="0"/>
    </xf>
    <xf numFmtId="178" fontId="44" fillId="0" borderId="12" xfId="111" applyNumberFormat="1" applyFont="1" applyFill="1" applyBorder="1">
      <alignment/>
      <protection/>
    </xf>
    <xf numFmtId="178" fontId="44" fillId="0" borderId="12" xfId="111" applyNumberFormat="1" applyFont="1" applyFill="1" applyBorder="1" applyProtection="1">
      <alignment/>
      <protection locked="0"/>
    </xf>
    <xf numFmtId="177" fontId="44" fillId="0" borderId="13" xfId="111" applyNumberFormat="1" applyFont="1" applyFill="1" applyBorder="1" applyAlignment="1">
      <alignment horizontal="left" indent="1"/>
      <protection/>
    </xf>
    <xf numFmtId="0" fontId="44" fillId="0" borderId="13" xfId="111" applyFont="1" applyFill="1" applyBorder="1" applyAlignment="1">
      <alignment horizontal="left" indent="3"/>
      <protection/>
    </xf>
    <xf numFmtId="178" fontId="44" fillId="0" borderId="13" xfId="111" applyNumberFormat="1" applyFont="1" applyFill="1" applyBorder="1" applyProtection="1">
      <alignment/>
      <protection locked="0"/>
    </xf>
    <xf numFmtId="178" fontId="44" fillId="0" borderId="13" xfId="111" applyNumberFormat="1" applyFont="1" applyFill="1" applyBorder="1">
      <alignment/>
      <protection/>
    </xf>
    <xf numFmtId="178" fontId="44" fillId="0" borderId="11" xfId="111" applyNumberFormat="1" applyFont="1" applyFill="1" applyBorder="1" applyProtection="1">
      <alignment/>
      <protection locked="0"/>
    </xf>
    <xf numFmtId="178" fontId="44" fillId="0" borderId="11" xfId="111" applyNumberFormat="1" applyFont="1" applyFill="1" applyBorder="1" applyAlignment="1" applyProtection="1">
      <alignment vertical="center"/>
      <protection locked="0"/>
    </xf>
    <xf numFmtId="178" fontId="44" fillId="0" borderId="12" xfId="111" applyNumberFormat="1" applyFont="1" applyFill="1" applyBorder="1" applyAlignment="1" applyProtection="1">
      <alignment vertical="center"/>
      <protection locked="0"/>
    </xf>
    <xf numFmtId="177" fontId="44" fillId="0" borderId="12" xfId="111" applyNumberFormat="1" applyFont="1" applyFill="1" applyBorder="1" applyAlignment="1">
      <alignment horizontal="left" wrapText="1" indent="1"/>
      <protection/>
    </xf>
    <xf numFmtId="178" fontId="44" fillId="0" borderId="13" xfId="111" applyNumberFormat="1" applyFont="1" applyFill="1" applyBorder="1" applyAlignment="1" applyProtection="1">
      <alignment vertical="center"/>
      <protection locked="0"/>
    </xf>
    <xf numFmtId="0" fontId="41" fillId="0" borderId="10" xfId="111" applyFont="1" applyFill="1" applyBorder="1" applyAlignment="1">
      <alignment horizontal="left" vertical="center" indent="1"/>
      <protection/>
    </xf>
    <xf numFmtId="0" fontId="45" fillId="0" borderId="0" xfId="111" applyFont="1" applyFill="1" applyAlignment="1">
      <alignment vertical="center"/>
      <protection/>
    </xf>
    <xf numFmtId="178" fontId="41" fillId="0" borderId="14" xfId="111" applyNumberFormat="1" applyFont="1" applyFill="1" applyBorder="1" applyAlignment="1">
      <alignment horizontal="center" vertical="center" wrapText="1"/>
      <protection/>
    </xf>
    <xf numFmtId="178" fontId="42" fillId="0" borderId="14" xfId="111" applyNumberFormat="1" applyFont="1" applyFill="1" applyBorder="1" applyAlignment="1">
      <alignment horizontal="center" vertical="center" wrapText="1"/>
      <protection/>
    </xf>
    <xf numFmtId="0" fontId="44" fillId="0" borderId="11" xfId="111" applyFont="1" applyFill="1" applyBorder="1" applyAlignment="1">
      <alignment horizontal="left" indent="1"/>
      <protection/>
    </xf>
    <xf numFmtId="0" fontId="44" fillId="0" borderId="12" xfId="111" applyFont="1" applyFill="1" applyBorder="1" applyAlignment="1">
      <alignment horizontal="left" indent="1"/>
      <protection/>
    </xf>
    <xf numFmtId="0" fontId="44" fillId="0" borderId="13" xfId="111" applyFont="1" applyFill="1" applyBorder="1" applyAlignment="1">
      <alignment horizontal="left" indent="1"/>
      <protection/>
    </xf>
    <xf numFmtId="165" fontId="28" fillId="0" borderId="0" xfId="111" applyNumberFormat="1" applyFill="1" applyAlignment="1">
      <alignment vertical="center"/>
      <protection/>
    </xf>
    <xf numFmtId="0" fontId="31" fillId="0" borderId="0" xfId="111" applyFont="1" applyFill="1">
      <alignment/>
      <protection/>
    </xf>
    <xf numFmtId="0" fontId="46" fillId="0" borderId="10" xfId="111" applyFont="1" applyFill="1" applyBorder="1" applyAlignment="1">
      <alignment horizontal="center" vertical="center"/>
      <protection/>
    </xf>
    <xf numFmtId="0" fontId="43" fillId="0" borderId="0" xfId="111" applyFont="1" applyFill="1">
      <alignment/>
      <protection/>
    </xf>
    <xf numFmtId="0" fontId="47" fillId="0" borderId="15" xfId="111" applyNumberFormat="1" applyFont="1" applyFill="1" applyBorder="1" applyAlignment="1" applyProtection="1">
      <alignment horizontal="center" vertical="center"/>
      <protection/>
    </xf>
    <xf numFmtId="0" fontId="28" fillId="0" borderId="0" xfId="111" applyFill="1" applyAlignment="1">
      <alignment vertical="center"/>
      <protection/>
    </xf>
    <xf numFmtId="0" fontId="28" fillId="0" borderId="0" xfId="111" applyFont="1" applyFill="1" applyAlignment="1">
      <alignment vertical="center"/>
      <protection/>
    </xf>
    <xf numFmtId="179" fontId="44" fillId="0" borderId="16" xfId="111" applyNumberFormat="1" applyFont="1" applyFill="1" applyBorder="1" applyAlignment="1">
      <alignment horizontal="center" vertical="center"/>
      <protection/>
    </xf>
    <xf numFmtId="0" fontId="44" fillId="0" borderId="16" xfId="111" applyFont="1" applyFill="1" applyBorder="1" applyAlignment="1">
      <alignment horizontal="left" vertical="center" wrapText="1"/>
      <protection/>
    </xf>
    <xf numFmtId="178" fontId="44" fillId="0" borderId="16" xfId="111" applyNumberFormat="1" applyFont="1" applyFill="1" applyBorder="1" applyAlignment="1" applyProtection="1">
      <alignment horizontal="right" vertical="center"/>
      <protection locked="0"/>
    </xf>
    <xf numFmtId="179" fontId="44" fillId="0" borderId="10" xfId="111" applyNumberFormat="1" applyFont="1" applyFill="1" applyBorder="1" applyAlignment="1">
      <alignment horizontal="center" vertical="center"/>
      <protection/>
    </xf>
    <xf numFmtId="0" fontId="44" fillId="0" borderId="10" xfId="111" applyFont="1" applyFill="1" applyBorder="1" applyAlignment="1">
      <alignment horizontal="left" vertical="center" wrapText="1"/>
      <protection/>
    </xf>
    <xf numFmtId="178" fontId="44" fillId="0" borderId="10" xfId="111" applyNumberFormat="1" applyFont="1" applyFill="1" applyBorder="1" applyAlignment="1" applyProtection="1">
      <alignment horizontal="right" vertical="center"/>
      <protection locked="0"/>
    </xf>
    <xf numFmtId="179" fontId="44" fillId="0" borderId="17" xfId="111" applyNumberFormat="1" applyFont="1" applyFill="1" applyBorder="1" applyAlignment="1">
      <alignment horizontal="center" vertical="center"/>
      <protection/>
    </xf>
    <xf numFmtId="0" fontId="44" fillId="0" borderId="17" xfId="111" applyFont="1" applyFill="1" applyBorder="1" applyAlignment="1">
      <alignment horizontal="left" vertical="center" wrapText="1"/>
      <protection/>
    </xf>
    <xf numFmtId="178" fontId="44" fillId="0" borderId="17" xfId="111" applyNumberFormat="1" applyFont="1" applyFill="1" applyBorder="1" applyAlignment="1" applyProtection="1">
      <alignment horizontal="right" vertical="center"/>
      <protection locked="0"/>
    </xf>
    <xf numFmtId="179" fontId="42" fillId="0" borderId="18" xfId="111" applyNumberFormat="1" applyFont="1" applyFill="1" applyBorder="1" applyAlignment="1">
      <alignment horizontal="center" vertical="center"/>
      <protection/>
    </xf>
    <xf numFmtId="0" fontId="42" fillId="0" borderId="18" xfId="111" applyFont="1" applyFill="1" applyBorder="1" applyAlignment="1">
      <alignment horizontal="left" vertical="center" wrapText="1"/>
      <protection/>
    </xf>
    <xf numFmtId="178" fontId="48" fillId="0" borderId="18" xfId="111" applyNumberFormat="1" applyFont="1" applyFill="1" applyBorder="1" applyAlignment="1">
      <alignment vertical="center"/>
      <protection/>
    </xf>
    <xf numFmtId="0" fontId="49" fillId="0" borderId="0" xfId="111" applyFont="1" applyFill="1" applyAlignment="1">
      <alignment vertical="center"/>
      <protection/>
    </xf>
    <xf numFmtId="178" fontId="44" fillId="0" borderId="16" xfId="111" applyNumberFormat="1" applyFont="1" applyFill="1" applyBorder="1" applyAlignment="1" applyProtection="1">
      <alignment vertical="center"/>
      <protection locked="0"/>
    </xf>
    <xf numFmtId="178" fontId="44" fillId="0" borderId="17" xfId="111" applyNumberFormat="1" applyFont="1" applyFill="1" applyBorder="1" applyAlignment="1" applyProtection="1">
      <alignment vertical="center"/>
      <protection locked="0"/>
    </xf>
    <xf numFmtId="178" fontId="44" fillId="24" borderId="10" xfId="111" applyNumberFormat="1" applyFont="1" applyFill="1" applyBorder="1" applyAlignment="1" applyProtection="1">
      <alignment vertical="center"/>
      <protection/>
    </xf>
    <xf numFmtId="178" fontId="44" fillId="0" borderId="10" xfId="111" applyNumberFormat="1" applyFont="1" applyFill="1" applyBorder="1" applyAlignment="1" applyProtection="1">
      <alignment vertical="center"/>
      <protection locked="0"/>
    </xf>
    <xf numFmtId="178" fontId="48" fillId="0" borderId="18" xfId="111" applyNumberFormat="1" applyFont="1" applyFill="1" applyBorder="1" applyAlignment="1" applyProtection="1">
      <alignment vertical="center"/>
      <protection/>
    </xf>
    <xf numFmtId="179" fontId="42" fillId="0" borderId="19" xfId="111" applyNumberFormat="1" applyFont="1" applyFill="1" applyBorder="1" applyAlignment="1">
      <alignment horizontal="center" vertical="center"/>
      <protection/>
    </xf>
    <xf numFmtId="0" fontId="42" fillId="0" borderId="19" xfId="111" applyFont="1" applyFill="1" applyBorder="1" applyAlignment="1">
      <alignment horizontal="left" vertical="center" wrapText="1"/>
      <protection/>
    </xf>
    <xf numFmtId="178" fontId="48" fillId="0" borderId="19" xfId="111" applyNumberFormat="1" applyFont="1" applyFill="1" applyBorder="1" applyAlignment="1" applyProtection="1">
      <alignment vertical="center"/>
      <protection/>
    </xf>
    <xf numFmtId="179" fontId="42" fillId="0" borderId="15" xfId="111" applyNumberFormat="1" applyFont="1" applyFill="1" applyBorder="1" applyAlignment="1">
      <alignment horizontal="center" vertical="center"/>
      <protection/>
    </xf>
    <xf numFmtId="0" fontId="42" fillId="0" borderId="15" xfId="111" applyFont="1" applyFill="1" applyBorder="1" applyAlignment="1">
      <alignment horizontal="left" vertical="center" wrapText="1"/>
      <protection/>
    </xf>
    <xf numFmtId="178" fontId="48" fillId="0" borderId="15" xfId="111" applyNumberFormat="1" applyFont="1" applyFill="1" applyBorder="1" applyAlignment="1" applyProtection="1">
      <alignment vertical="center"/>
      <protection/>
    </xf>
    <xf numFmtId="178" fontId="44" fillId="24" borderId="17" xfId="111" applyNumberFormat="1" applyFont="1" applyFill="1" applyBorder="1" applyAlignment="1" applyProtection="1">
      <alignment vertical="center"/>
      <protection/>
    </xf>
    <xf numFmtId="179" fontId="42" fillId="0" borderId="20" xfId="111" applyNumberFormat="1" applyFont="1" applyFill="1" applyBorder="1" applyAlignment="1">
      <alignment horizontal="center" vertical="center"/>
      <protection/>
    </xf>
    <xf numFmtId="0" fontId="42" fillId="0" borderId="20" xfId="111" applyFont="1" applyFill="1" applyBorder="1" applyAlignment="1">
      <alignment horizontal="left" vertical="center" wrapText="1"/>
      <protection/>
    </xf>
    <xf numFmtId="178" fontId="48" fillId="0" borderId="20" xfId="111" applyNumberFormat="1" applyFont="1" applyFill="1" applyBorder="1" applyAlignment="1" applyProtection="1">
      <alignment vertical="center"/>
      <protection/>
    </xf>
    <xf numFmtId="179" fontId="42" fillId="0" borderId="21" xfId="111" applyNumberFormat="1" applyFont="1" applyFill="1" applyBorder="1" applyAlignment="1">
      <alignment horizontal="center" vertical="center"/>
      <protection/>
    </xf>
    <xf numFmtId="0" fontId="42" fillId="0" borderId="21" xfId="111" applyFont="1" applyFill="1" applyBorder="1" applyAlignment="1">
      <alignment horizontal="left" vertical="center" wrapText="1"/>
      <protection/>
    </xf>
    <xf numFmtId="178" fontId="48" fillId="0" borderId="21" xfId="111" applyNumberFormat="1" applyFont="1" applyFill="1" applyBorder="1" applyAlignment="1" applyProtection="1">
      <alignment vertical="center"/>
      <protection/>
    </xf>
    <xf numFmtId="178" fontId="48" fillId="24" borderId="18" xfId="111" applyNumberFormat="1" applyFont="1" applyFill="1" applyBorder="1" applyAlignment="1" applyProtection="1">
      <alignment vertical="center"/>
      <protection/>
    </xf>
    <xf numFmtId="179" fontId="42" fillId="0" borderId="16" xfId="111" applyNumberFormat="1" applyFont="1" applyFill="1" applyBorder="1" applyAlignment="1">
      <alignment horizontal="center" vertical="center"/>
      <protection/>
    </xf>
    <xf numFmtId="0" fontId="42" fillId="0" borderId="16" xfId="111" applyFont="1" applyFill="1" applyBorder="1" applyAlignment="1">
      <alignment horizontal="left" vertical="center" wrapText="1"/>
      <protection/>
    </xf>
    <xf numFmtId="178" fontId="48" fillId="24" borderId="19" xfId="111" applyNumberFormat="1" applyFont="1" applyFill="1" applyBorder="1" applyAlignment="1" applyProtection="1">
      <alignment vertical="center"/>
      <protection/>
    </xf>
    <xf numFmtId="178" fontId="48" fillId="0" borderId="16" xfId="111" applyNumberFormat="1" applyFont="1" applyFill="1" applyBorder="1" applyAlignment="1" applyProtection="1">
      <alignment vertical="center"/>
      <protection/>
    </xf>
    <xf numFmtId="0" fontId="29" fillId="0" borderId="0" xfId="107" applyFont="1" applyFill="1">
      <alignment/>
      <protection/>
    </xf>
    <xf numFmtId="0" fontId="31" fillId="0" borderId="0" xfId="111" applyFont="1" applyFill="1" applyAlignment="1">
      <alignment horizontal="center" vertical="center"/>
      <protection/>
    </xf>
    <xf numFmtId="0" fontId="31" fillId="0" borderId="0" xfId="108" applyFont="1" applyAlignment="1">
      <alignment horizontal="center" vertical="center"/>
      <protection/>
    </xf>
    <xf numFmtId="0" fontId="31" fillId="0" borderId="0" xfId="111" applyFont="1" applyFill="1" applyAlignment="1">
      <alignment horizontal="left"/>
      <protection/>
    </xf>
    <xf numFmtId="0" fontId="50" fillId="0" borderId="0" xfId="111" applyFont="1" applyFill="1">
      <alignment/>
      <protection/>
    </xf>
    <xf numFmtId="0" fontId="51" fillId="0" borderId="0" xfId="111" applyFont="1" applyFill="1">
      <alignment/>
      <protection/>
    </xf>
    <xf numFmtId="0" fontId="40" fillId="0" borderId="0" xfId="111" applyFont="1" applyFill="1" applyAlignment="1" applyProtection="1">
      <alignment horizontal="center" vertical="center"/>
      <protection locked="0"/>
    </xf>
    <xf numFmtId="0" fontId="41" fillId="0" borderId="22" xfId="111" applyFont="1" applyFill="1" applyBorder="1" applyAlignment="1">
      <alignment horizontal="center" vertical="center" wrapText="1"/>
      <protection/>
    </xf>
    <xf numFmtId="0" fontId="41" fillId="0" borderId="23" xfId="111" applyFont="1" applyFill="1" applyBorder="1" applyAlignment="1">
      <alignment horizontal="center" vertical="center"/>
      <protection/>
    </xf>
    <xf numFmtId="0" fontId="41" fillId="0" borderId="20" xfId="111" applyFont="1" applyFill="1" applyBorder="1" applyAlignment="1">
      <alignment horizontal="center" vertical="center" wrapText="1"/>
      <protection/>
    </xf>
    <xf numFmtId="0" fontId="41" fillId="0" borderId="24" xfId="111" applyFont="1" applyFill="1" applyBorder="1" applyAlignment="1">
      <alignment horizontal="center" vertical="center" wrapText="1"/>
      <protection/>
    </xf>
    <xf numFmtId="179" fontId="44" fillId="0" borderId="25" xfId="111" applyNumberFormat="1" applyFont="1" applyFill="1" applyBorder="1" applyAlignment="1">
      <alignment horizontal="center" vertical="center"/>
      <protection/>
    </xf>
    <xf numFmtId="0" fontId="44" fillId="0" borderId="26" xfId="111" applyFont="1" applyFill="1" applyBorder="1" applyAlignment="1">
      <alignment horizontal="left" vertical="center" wrapText="1" indent="1"/>
      <protection/>
    </xf>
    <xf numFmtId="178" fontId="44" fillId="0" borderId="19" xfId="75" applyNumberFormat="1" applyFont="1" applyFill="1" applyBorder="1" applyAlignment="1" applyProtection="1">
      <alignment horizontal="right" vertical="center"/>
      <protection locked="0"/>
    </xf>
    <xf numFmtId="178" fontId="44" fillId="0" borderId="19" xfId="111" applyNumberFormat="1" applyFont="1" applyFill="1" applyBorder="1" applyAlignment="1">
      <alignment horizontal="right" vertical="center"/>
      <protection/>
    </xf>
    <xf numFmtId="178" fontId="44" fillId="0" borderId="27" xfId="111" applyNumberFormat="1" applyFont="1" applyFill="1" applyBorder="1" applyAlignment="1">
      <alignment horizontal="right" vertical="center"/>
      <protection/>
    </xf>
    <xf numFmtId="179" fontId="44" fillId="0" borderId="28" xfId="111" applyNumberFormat="1" applyFont="1" applyFill="1" applyBorder="1" applyAlignment="1">
      <alignment horizontal="center" vertical="center"/>
      <protection/>
    </xf>
    <xf numFmtId="0" fontId="44" fillId="0" borderId="29" xfId="111" applyFont="1" applyFill="1" applyBorder="1" applyAlignment="1">
      <alignment horizontal="left" vertical="center" wrapText="1" indent="1"/>
      <protection/>
    </xf>
    <xf numFmtId="178" fontId="44" fillId="0" borderId="16" xfId="75" applyNumberFormat="1" applyFont="1" applyFill="1" applyBorder="1" applyAlignment="1" applyProtection="1">
      <alignment horizontal="right" vertical="center"/>
      <protection locked="0"/>
    </xf>
    <xf numFmtId="178" fontId="44" fillId="0" borderId="16" xfId="111" applyNumberFormat="1" applyFont="1" applyFill="1" applyBorder="1" applyAlignment="1">
      <alignment horizontal="right" vertical="center"/>
      <protection/>
    </xf>
    <xf numFmtId="178" fontId="44" fillId="0" borderId="30" xfId="111" applyNumberFormat="1" applyFont="1" applyFill="1" applyBorder="1" applyAlignment="1">
      <alignment horizontal="right" vertical="center"/>
      <protection/>
    </xf>
    <xf numFmtId="179" fontId="44" fillId="0" borderId="31" xfId="111" applyNumberFormat="1" applyFont="1" applyFill="1" applyBorder="1" applyAlignment="1">
      <alignment horizontal="center" vertical="center"/>
      <protection/>
    </xf>
    <xf numFmtId="0" fontId="44" fillId="0" borderId="32" xfId="111" applyFont="1" applyFill="1" applyBorder="1" applyAlignment="1">
      <alignment horizontal="left" vertical="center" wrapText="1" indent="1"/>
      <protection/>
    </xf>
    <xf numFmtId="178" fontId="44" fillId="0" borderId="10" xfId="75" applyNumberFormat="1" applyFont="1" applyFill="1" applyBorder="1" applyAlignment="1" applyProtection="1">
      <alignment horizontal="right" vertical="center"/>
      <protection locked="0"/>
    </xf>
    <xf numFmtId="178" fontId="44" fillId="0" borderId="10" xfId="111" applyNumberFormat="1" applyFont="1" applyFill="1" applyBorder="1" applyAlignment="1">
      <alignment horizontal="right" vertical="center"/>
      <protection/>
    </xf>
    <xf numFmtId="179" fontId="44" fillId="0" borderId="33" xfId="111" applyNumberFormat="1" applyFont="1" applyFill="1" applyBorder="1" applyAlignment="1">
      <alignment horizontal="center" vertical="center"/>
      <protection/>
    </xf>
    <xf numFmtId="0" fontId="44" fillId="0" borderId="34" xfId="111" applyFont="1" applyFill="1" applyBorder="1" applyAlignment="1">
      <alignment horizontal="left" vertical="center" wrapText="1" indent="1"/>
      <protection/>
    </xf>
    <xf numFmtId="178" fontId="44" fillId="0" borderId="17" xfId="75" applyNumberFormat="1" applyFont="1" applyFill="1" applyBorder="1" applyAlignment="1" applyProtection="1">
      <alignment horizontal="right" vertical="center"/>
      <protection locked="0"/>
    </xf>
    <xf numFmtId="178" fontId="44" fillId="0" borderId="17" xfId="111" applyNumberFormat="1" applyFont="1" applyFill="1" applyBorder="1" applyAlignment="1">
      <alignment horizontal="right" vertical="center"/>
      <protection/>
    </xf>
    <xf numFmtId="178" fontId="44" fillId="0" borderId="35" xfId="111" applyNumberFormat="1" applyFont="1" applyFill="1" applyBorder="1" applyAlignment="1">
      <alignment horizontal="right" vertical="center"/>
      <protection/>
    </xf>
    <xf numFmtId="179" fontId="42" fillId="0" borderId="36" xfId="111" applyNumberFormat="1" applyFont="1" applyFill="1" applyBorder="1" applyAlignment="1">
      <alignment horizontal="center" vertical="center"/>
      <protection/>
    </xf>
    <xf numFmtId="0" fontId="42" fillId="0" borderId="37" xfId="111" applyFont="1" applyFill="1" applyBorder="1" applyAlignment="1">
      <alignment horizontal="left" vertical="center" wrapText="1" indent="1"/>
      <protection/>
    </xf>
    <xf numFmtId="178" fontId="42" fillId="0" borderId="18" xfId="111" applyNumberFormat="1" applyFont="1" applyFill="1" applyBorder="1" applyAlignment="1" applyProtection="1">
      <alignment horizontal="right" vertical="center"/>
      <protection/>
    </xf>
    <xf numFmtId="178" fontId="42" fillId="0" borderId="38" xfId="111" applyNumberFormat="1" applyFont="1" applyFill="1" applyBorder="1" applyAlignment="1" applyProtection="1">
      <alignment horizontal="right" vertical="center"/>
      <protection/>
    </xf>
    <xf numFmtId="178" fontId="44" fillId="0" borderId="39" xfId="111" applyNumberFormat="1" applyFont="1" applyFill="1" applyBorder="1" applyAlignment="1">
      <alignment horizontal="right" vertical="center"/>
      <protection/>
    </xf>
    <xf numFmtId="178" fontId="42" fillId="0" borderId="18" xfId="111" applyNumberFormat="1" applyFont="1" applyFill="1" applyBorder="1" applyAlignment="1">
      <alignment horizontal="right" vertical="center"/>
      <protection/>
    </xf>
    <xf numFmtId="178" fontId="42" fillId="0" borderId="38" xfId="111" applyNumberFormat="1" applyFont="1" applyFill="1" applyBorder="1" applyAlignment="1">
      <alignment horizontal="right" vertical="center"/>
      <protection/>
    </xf>
    <xf numFmtId="179" fontId="44" fillId="0" borderId="40" xfId="111" applyNumberFormat="1" applyFont="1" applyFill="1" applyBorder="1" applyAlignment="1">
      <alignment horizontal="center" vertical="center"/>
      <protection/>
    </xf>
    <xf numFmtId="0" fontId="44" fillId="0" borderId="41" xfId="111" applyFont="1" applyFill="1" applyBorder="1" applyAlignment="1">
      <alignment horizontal="left" vertical="center" wrapText="1" indent="1"/>
      <protection/>
    </xf>
    <xf numFmtId="178" fontId="44" fillId="0" borderId="15" xfId="75" applyNumberFormat="1" applyFont="1" applyFill="1" applyBorder="1" applyAlignment="1" applyProtection="1">
      <alignment horizontal="right" vertical="center"/>
      <protection locked="0"/>
    </xf>
    <xf numFmtId="178" fontId="44" fillId="0" borderId="15" xfId="111" applyNumberFormat="1" applyFont="1" applyFill="1" applyBorder="1" applyAlignment="1">
      <alignment horizontal="right" vertical="center"/>
      <protection/>
    </xf>
    <xf numFmtId="178" fontId="44" fillId="0" borderId="42" xfId="111" applyNumberFormat="1" applyFont="1" applyFill="1" applyBorder="1" applyAlignment="1">
      <alignment horizontal="right" vertical="center"/>
      <protection/>
    </xf>
    <xf numFmtId="165" fontId="29" fillId="0" borderId="0" xfId="109" applyNumberFormat="1" applyFont="1" applyAlignment="1">
      <alignment vertical="center"/>
      <protection/>
    </xf>
    <xf numFmtId="3" fontId="29" fillId="0" borderId="0" xfId="109" applyNumberFormat="1" applyFont="1" applyAlignment="1">
      <alignment vertical="center"/>
      <protection/>
    </xf>
    <xf numFmtId="3" fontId="52" fillId="0" borderId="0" xfId="109" applyNumberFormat="1" applyFont="1" applyAlignment="1">
      <alignment horizontal="center" vertical="center"/>
      <protection/>
    </xf>
    <xf numFmtId="165" fontId="53" fillId="0" borderId="0" xfId="109" applyNumberFormat="1" applyFont="1" applyAlignment="1">
      <alignment horizontal="center" vertical="center"/>
      <protection/>
    </xf>
    <xf numFmtId="3" fontId="53" fillId="0" borderId="0" xfId="109" applyNumberFormat="1" applyFont="1" applyAlignment="1">
      <alignment horizontal="center" vertical="center"/>
      <protection/>
    </xf>
    <xf numFmtId="165" fontId="29" fillId="0" borderId="0" xfId="109" applyNumberFormat="1" applyFont="1" applyBorder="1" applyAlignment="1">
      <alignment vertical="center"/>
      <protection/>
    </xf>
    <xf numFmtId="3" fontId="29" fillId="0" borderId="0" xfId="109" applyNumberFormat="1" applyFont="1" applyBorder="1" applyAlignment="1">
      <alignment vertical="center"/>
      <protection/>
    </xf>
    <xf numFmtId="3" fontId="52" fillId="0" borderId="0" xfId="109" applyNumberFormat="1" applyFont="1" applyBorder="1" applyAlignment="1">
      <alignment horizontal="right" vertical="center"/>
      <protection/>
    </xf>
    <xf numFmtId="3" fontId="53" fillId="0" borderId="43" xfId="109" applyNumberFormat="1" applyFont="1" applyBorder="1" applyAlignment="1">
      <alignment horizontal="center" vertical="center"/>
      <protection/>
    </xf>
    <xf numFmtId="3" fontId="53" fillId="0" borderId="44" xfId="109" applyNumberFormat="1" applyFont="1" applyBorder="1" applyAlignment="1">
      <alignment horizontal="center" vertical="center"/>
      <protection/>
    </xf>
    <xf numFmtId="165" fontId="29" fillId="0" borderId="45" xfId="109" applyNumberFormat="1" applyFont="1" applyBorder="1" applyAlignment="1">
      <alignment vertical="center"/>
      <protection/>
    </xf>
    <xf numFmtId="165" fontId="29" fillId="0" borderId="0" xfId="109" applyNumberFormat="1" applyFont="1" applyBorder="1" applyAlignment="1">
      <alignment horizontal="center" vertical="center"/>
      <protection/>
    </xf>
    <xf numFmtId="165" fontId="53" fillId="0" borderId="45" xfId="109" applyNumberFormat="1" applyFont="1" applyBorder="1" applyAlignment="1">
      <alignment vertical="center"/>
      <protection/>
    </xf>
    <xf numFmtId="165" fontId="53" fillId="0" borderId="0" xfId="109" applyNumberFormat="1" applyFont="1" applyBorder="1" applyAlignment="1">
      <alignment vertical="center"/>
      <protection/>
    </xf>
    <xf numFmtId="3" fontId="29" fillId="0" borderId="46" xfId="109" applyNumberFormat="1" applyFont="1" applyBorder="1" applyAlignment="1">
      <alignment vertical="center"/>
      <protection/>
    </xf>
    <xf numFmtId="165" fontId="53" fillId="0" borderId="47" xfId="109" applyNumberFormat="1" applyFont="1" applyBorder="1" applyAlignment="1">
      <alignment vertical="center"/>
      <protection/>
    </xf>
    <xf numFmtId="165" fontId="53" fillId="0" borderId="48" xfId="109" applyNumberFormat="1" applyFont="1" applyBorder="1" applyAlignment="1">
      <alignment vertical="center"/>
      <protection/>
    </xf>
    <xf numFmtId="165" fontId="29" fillId="0" borderId="47" xfId="109" applyNumberFormat="1" applyFont="1" applyBorder="1" applyAlignment="1">
      <alignment vertical="center"/>
      <protection/>
    </xf>
    <xf numFmtId="165" fontId="29" fillId="0" borderId="48" xfId="109" applyNumberFormat="1" applyFont="1" applyBorder="1" applyAlignment="1">
      <alignment vertical="center"/>
      <protection/>
    </xf>
    <xf numFmtId="165" fontId="31" fillId="0" borderId="0" xfId="109" applyNumberFormat="1" applyFont="1" applyAlignment="1">
      <alignment vertical="center"/>
      <protection/>
    </xf>
    <xf numFmtId="165" fontId="31" fillId="0" borderId="0" xfId="109" applyNumberFormat="1" applyFont="1" applyBorder="1" applyAlignment="1">
      <alignment horizontal="right" vertical="center"/>
      <protection/>
    </xf>
    <xf numFmtId="165" fontId="53" fillId="0" borderId="0" xfId="109" applyNumberFormat="1" applyFont="1" applyAlignment="1">
      <alignment vertical="center"/>
      <protection/>
    </xf>
    <xf numFmtId="165" fontId="31" fillId="0" borderId="0" xfId="109" applyNumberFormat="1" applyFont="1" applyBorder="1" applyAlignment="1">
      <alignment vertical="center"/>
      <protection/>
    </xf>
    <xf numFmtId="165" fontId="54" fillId="0" borderId="49" xfId="109" applyNumberFormat="1" applyFont="1" applyBorder="1" applyAlignment="1">
      <alignment horizontal="center" vertical="center"/>
      <protection/>
    </xf>
    <xf numFmtId="165" fontId="54" fillId="0" borderId="50" xfId="109" applyNumberFormat="1" applyFont="1" applyBorder="1" applyAlignment="1">
      <alignment horizontal="center" vertical="center"/>
      <protection/>
    </xf>
    <xf numFmtId="165" fontId="54" fillId="0" borderId="51" xfId="109" applyNumberFormat="1" applyFont="1" applyBorder="1" applyAlignment="1">
      <alignment horizontal="center" vertical="center"/>
      <protection/>
    </xf>
    <xf numFmtId="165" fontId="54" fillId="0" borderId="52" xfId="109" applyNumberFormat="1" applyFont="1" applyBorder="1" applyAlignment="1">
      <alignment horizontal="center" vertical="center"/>
      <protection/>
    </xf>
    <xf numFmtId="165" fontId="31" fillId="0" borderId="14" xfId="109" applyNumberFormat="1" applyFont="1" applyBorder="1" applyAlignment="1">
      <alignment horizontal="center" vertical="center"/>
      <protection/>
    </xf>
    <xf numFmtId="165" fontId="31" fillId="0" borderId="53" xfId="109" applyNumberFormat="1" applyFont="1" applyBorder="1" applyAlignment="1">
      <alignment vertical="center"/>
      <protection/>
    </xf>
    <xf numFmtId="165" fontId="31" fillId="0" borderId="46" xfId="109" applyNumberFormat="1" applyFont="1" applyBorder="1" applyAlignment="1">
      <alignment vertical="center"/>
      <protection/>
    </xf>
    <xf numFmtId="165" fontId="31" fillId="0" borderId="54" xfId="109" applyNumberFormat="1" applyFont="1" applyBorder="1" applyAlignment="1">
      <alignment vertical="center"/>
      <protection/>
    </xf>
    <xf numFmtId="165" fontId="31" fillId="0" borderId="55" xfId="109" applyNumberFormat="1" applyFont="1" applyBorder="1" applyAlignment="1">
      <alignment vertical="center"/>
      <protection/>
    </xf>
    <xf numFmtId="165" fontId="31" fillId="0" borderId="56" xfId="109" applyNumberFormat="1" applyFont="1" applyBorder="1" applyAlignment="1">
      <alignment vertical="center"/>
      <protection/>
    </xf>
    <xf numFmtId="165" fontId="54" fillId="0" borderId="10" xfId="109" applyNumberFormat="1" applyFont="1" applyBorder="1" applyAlignment="1">
      <alignment horizontal="center" vertical="center"/>
      <protection/>
    </xf>
    <xf numFmtId="165" fontId="54" fillId="0" borderId="48" xfId="109" applyNumberFormat="1" applyFont="1" applyBorder="1" applyAlignment="1">
      <alignment vertical="center"/>
      <protection/>
    </xf>
    <xf numFmtId="165" fontId="54" fillId="0" borderId="57" xfId="109" applyNumberFormat="1" applyFont="1" applyBorder="1" applyAlignment="1">
      <alignment vertical="center"/>
      <protection/>
    </xf>
    <xf numFmtId="165" fontId="54" fillId="0" borderId="43" xfId="109" applyNumberFormat="1" applyFont="1" applyBorder="1" applyAlignment="1">
      <alignment vertical="center"/>
      <protection/>
    </xf>
    <xf numFmtId="165" fontId="54" fillId="0" borderId="58" xfId="109" applyNumberFormat="1" applyFont="1" applyBorder="1" applyAlignment="1">
      <alignment vertical="center"/>
      <protection/>
    </xf>
    <xf numFmtId="165" fontId="54" fillId="0" borderId="59" xfId="109" applyNumberFormat="1" applyFont="1" applyBorder="1" applyAlignment="1">
      <alignment vertical="center"/>
      <protection/>
    </xf>
    <xf numFmtId="165" fontId="54" fillId="0" borderId="60" xfId="109" applyNumberFormat="1" applyFont="1" applyBorder="1" applyAlignment="1">
      <alignment vertical="center"/>
      <protection/>
    </xf>
    <xf numFmtId="165" fontId="31" fillId="0" borderId="0" xfId="109" applyNumberFormat="1" applyFont="1" applyBorder="1" applyAlignment="1">
      <alignment vertical="center" wrapText="1"/>
      <protection/>
    </xf>
    <xf numFmtId="165" fontId="31" fillId="0" borderId="61" xfId="109" applyNumberFormat="1" applyFont="1" applyBorder="1" applyAlignment="1">
      <alignment vertical="center"/>
      <protection/>
    </xf>
    <xf numFmtId="165" fontId="54" fillId="0" borderId="48" xfId="109" applyNumberFormat="1" applyFont="1" applyBorder="1" applyAlignment="1">
      <alignment vertical="center" wrapText="1"/>
      <protection/>
    </xf>
    <xf numFmtId="0" fontId="29" fillId="0" borderId="0" xfId="109" applyFont="1" applyAlignment="1">
      <alignment vertical="center"/>
      <protection/>
    </xf>
    <xf numFmtId="3" fontId="29" fillId="0" borderId="0" xfId="109" applyNumberFormat="1" applyFont="1" applyAlignment="1">
      <alignment horizontal="right" vertical="center"/>
      <protection/>
    </xf>
    <xf numFmtId="3" fontId="29" fillId="0" borderId="0" xfId="109" applyNumberFormat="1" applyFont="1" applyAlignment="1">
      <alignment horizontal="center" vertical="center"/>
      <protection/>
    </xf>
    <xf numFmtId="0" fontId="53" fillId="0" borderId="0" xfId="109" applyFont="1" applyAlignment="1">
      <alignment horizontal="center" vertical="center"/>
      <protection/>
    </xf>
    <xf numFmtId="0" fontId="29" fillId="0" borderId="0" xfId="109" applyFont="1" applyBorder="1" applyAlignment="1">
      <alignment vertical="center"/>
      <protection/>
    </xf>
    <xf numFmtId="165" fontId="31" fillId="0" borderId="0" xfId="109" applyNumberFormat="1" applyFont="1" applyBorder="1" applyAlignment="1">
      <alignment horizontal="right"/>
      <protection/>
    </xf>
    <xf numFmtId="0" fontId="29" fillId="0" borderId="46" xfId="109" applyFont="1" applyBorder="1" applyAlignment="1">
      <alignment vertical="center"/>
      <protection/>
    </xf>
    <xf numFmtId="3" fontId="29" fillId="0" borderId="55" xfId="109" applyNumberFormat="1" applyFont="1" applyBorder="1" applyAlignment="1">
      <alignment vertical="center"/>
      <protection/>
    </xf>
    <xf numFmtId="0" fontId="29" fillId="0" borderId="49" xfId="109" applyFont="1" applyBorder="1" applyAlignment="1">
      <alignment horizontal="center" vertical="center"/>
      <protection/>
    </xf>
    <xf numFmtId="0" fontId="29" fillId="0" borderId="62" xfId="109" applyFont="1" applyBorder="1" applyAlignment="1">
      <alignment vertical="center"/>
      <protection/>
    </xf>
    <xf numFmtId="3" fontId="29" fillId="0" borderId="62" xfId="109" applyNumberFormat="1" applyFont="1" applyBorder="1" applyAlignment="1">
      <alignment vertical="center"/>
      <protection/>
    </xf>
    <xf numFmtId="3" fontId="29" fillId="0" borderId="63" xfId="109" applyNumberFormat="1" applyFont="1" applyBorder="1" applyAlignment="1">
      <alignment vertical="center"/>
      <protection/>
    </xf>
    <xf numFmtId="0" fontId="29" fillId="0" borderId="53" xfId="109" applyFont="1" applyBorder="1" applyAlignment="1">
      <alignment horizontal="center" vertical="center"/>
      <protection/>
    </xf>
    <xf numFmtId="165" fontId="31" fillId="0" borderId="0" xfId="106" applyNumberFormat="1" applyFont="1" applyAlignment="1">
      <alignment vertical="center"/>
      <protection/>
    </xf>
    <xf numFmtId="165" fontId="31" fillId="0" borderId="0" xfId="106" applyNumberFormat="1" applyFont="1" applyAlignment="1">
      <alignment horizontal="left" vertical="center"/>
      <protection/>
    </xf>
    <xf numFmtId="165" fontId="31" fillId="0" borderId="0" xfId="106" applyNumberFormat="1" applyFont="1" applyAlignment="1">
      <alignment horizontal="center" vertical="center"/>
      <protection/>
    </xf>
    <xf numFmtId="165" fontId="31" fillId="0" borderId="0" xfId="106" applyNumberFormat="1" applyFont="1" applyAlignment="1">
      <alignment horizontal="right" vertical="center"/>
      <protection/>
    </xf>
    <xf numFmtId="165" fontId="53" fillId="0" borderId="0" xfId="106" applyNumberFormat="1" applyFont="1" applyBorder="1" applyAlignment="1">
      <alignment horizontal="center" vertical="center"/>
      <protection/>
    </xf>
    <xf numFmtId="165" fontId="31" fillId="0" borderId="0" xfId="106" applyNumberFormat="1" applyFont="1" applyBorder="1" applyAlignment="1">
      <alignment horizontal="right" vertical="center"/>
      <protection/>
    </xf>
    <xf numFmtId="165" fontId="53" fillId="0" borderId="64" xfId="106" applyNumberFormat="1" applyFont="1" applyBorder="1" applyAlignment="1">
      <alignment horizontal="center" vertical="center" wrapText="1"/>
      <protection/>
    </xf>
    <xf numFmtId="165" fontId="53" fillId="0" borderId="64" xfId="106" applyNumberFormat="1" applyFont="1" applyBorder="1" applyAlignment="1">
      <alignment horizontal="center" vertical="center"/>
      <protection/>
    </xf>
    <xf numFmtId="165" fontId="53" fillId="0" borderId="0" xfId="106" applyNumberFormat="1" applyFont="1" applyAlignment="1">
      <alignment vertical="center"/>
      <protection/>
    </xf>
    <xf numFmtId="165" fontId="53" fillId="0" borderId="65" xfId="106" applyNumberFormat="1" applyFont="1" applyBorder="1" applyAlignment="1">
      <alignment horizontal="center" vertical="center"/>
      <protection/>
    </xf>
    <xf numFmtId="165" fontId="31" fillId="0" borderId="66" xfId="106" applyNumberFormat="1" applyFont="1" applyBorder="1" applyAlignment="1">
      <alignment horizontal="left" vertical="center" wrapText="1"/>
      <protection/>
    </xf>
    <xf numFmtId="165" fontId="31" fillId="0" borderId="66" xfId="106" applyNumberFormat="1" applyFont="1" applyBorder="1" applyAlignment="1">
      <alignment vertical="center" wrapText="1"/>
      <protection/>
    </xf>
    <xf numFmtId="165" fontId="31" fillId="0" borderId="66" xfId="106" applyNumberFormat="1" applyFont="1" applyBorder="1" applyAlignment="1">
      <alignment horizontal="center" vertical="center"/>
      <protection/>
    </xf>
    <xf numFmtId="165" fontId="31" fillId="0" borderId="66" xfId="106" applyNumberFormat="1" applyFont="1" applyBorder="1" applyAlignment="1">
      <alignment vertical="center"/>
      <protection/>
    </xf>
    <xf numFmtId="165" fontId="31" fillId="0" borderId="67" xfId="106" applyNumberFormat="1" applyFont="1" applyBorder="1" applyAlignment="1">
      <alignment vertical="center"/>
      <protection/>
    </xf>
    <xf numFmtId="165" fontId="31" fillId="0" borderId="65" xfId="106" applyNumberFormat="1" applyFont="1" applyBorder="1" applyAlignment="1">
      <alignment vertical="center" wrapText="1"/>
      <protection/>
    </xf>
    <xf numFmtId="165" fontId="31" fillId="25" borderId="66" xfId="106" applyNumberFormat="1" applyFont="1" applyFill="1" applyBorder="1" applyAlignment="1">
      <alignment horizontal="left" vertical="center" wrapText="1"/>
      <protection/>
    </xf>
    <xf numFmtId="165" fontId="31" fillId="25" borderId="68" xfId="106" applyNumberFormat="1" applyFont="1" applyFill="1" applyBorder="1" applyAlignment="1">
      <alignment vertical="center" wrapText="1"/>
      <protection/>
    </xf>
    <xf numFmtId="165" fontId="31" fillId="0" borderId="69" xfId="106" applyNumberFormat="1" applyFont="1" applyBorder="1" applyAlignment="1">
      <alignment horizontal="center" vertical="center"/>
      <protection/>
    </xf>
    <xf numFmtId="165" fontId="31" fillId="0" borderId="70" xfId="106" applyNumberFormat="1" applyFont="1" applyBorder="1" applyAlignment="1">
      <alignment vertical="center"/>
      <protection/>
    </xf>
    <xf numFmtId="165" fontId="31" fillId="0" borderId="71" xfId="106" applyNumberFormat="1" applyFont="1" applyBorder="1" applyAlignment="1">
      <alignment vertical="center" wrapText="1"/>
      <protection/>
    </xf>
    <xf numFmtId="165" fontId="31" fillId="25" borderId="68" xfId="106" applyNumberFormat="1" applyFont="1" applyFill="1" applyBorder="1" applyAlignment="1">
      <alignment horizontal="left" vertical="center" wrapText="1"/>
      <protection/>
    </xf>
    <xf numFmtId="165" fontId="31" fillId="25" borderId="69" xfId="106" applyNumberFormat="1" applyFont="1" applyFill="1" applyBorder="1" applyAlignment="1">
      <alignment vertical="center" wrapText="1"/>
      <protection/>
    </xf>
    <xf numFmtId="165" fontId="31" fillId="0" borderId="68" xfId="106" applyNumberFormat="1" applyFont="1" applyBorder="1" applyAlignment="1">
      <alignment horizontal="center" vertical="center"/>
      <protection/>
    </xf>
    <xf numFmtId="165" fontId="31" fillId="0" borderId="72" xfId="106" applyNumberFormat="1" applyFont="1" applyBorder="1" applyAlignment="1">
      <alignment vertical="center" wrapText="1"/>
      <protection/>
    </xf>
    <xf numFmtId="165" fontId="31" fillId="25" borderId="69" xfId="106" applyNumberFormat="1" applyFont="1" applyFill="1" applyBorder="1" applyAlignment="1">
      <alignment vertical="center"/>
      <protection/>
    </xf>
    <xf numFmtId="165" fontId="31" fillId="25" borderId="68" xfId="106" applyNumberFormat="1" applyFont="1" applyFill="1" applyBorder="1" applyAlignment="1">
      <alignment vertical="center"/>
      <protection/>
    </xf>
    <xf numFmtId="165" fontId="31" fillId="0" borderId="73" xfId="106" applyNumberFormat="1" applyFont="1" applyBorder="1" applyAlignment="1">
      <alignment vertical="center" wrapText="1"/>
      <protection/>
    </xf>
    <xf numFmtId="165" fontId="31" fillId="25" borderId="74" xfId="106" applyNumberFormat="1" applyFont="1" applyFill="1" applyBorder="1" applyAlignment="1">
      <alignment horizontal="left" vertical="center" wrapText="1"/>
      <protection/>
    </xf>
    <xf numFmtId="165" fontId="31" fillId="25" borderId="74" xfId="106" applyNumberFormat="1" applyFont="1" applyFill="1" applyBorder="1" applyAlignment="1">
      <alignment vertical="center" wrapText="1"/>
      <protection/>
    </xf>
    <xf numFmtId="165" fontId="31" fillId="0" borderId="74" xfId="106" applyNumberFormat="1" applyFont="1" applyBorder="1" applyAlignment="1">
      <alignment horizontal="center" vertical="center"/>
      <protection/>
    </xf>
    <xf numFmtId="165" fontId="31" fillId="0" borderId="74" xfId="106" applyNumberFormat="1" applyFont="1" applyBorder="1" applyAlignment="1">
      <alignment vertical="center"/>
      <protection/>
    </xf>
    <xf numFmtId="165" fontId="31" fillId="0" borderId="75" xfId="106" applyNumberFormat="1" applyFont="1" applyBorder="1" applyAlignment="1">
      <alignment vertical="center"/>
      <protection/>
    </xf>
    <xf numFmtId="165" fontId="31" fillId="0" borderId="57" xfId="106" applyNumberFormat="1" applyFont="1" applyBorder="1" applyAlignment="1">
      <alignment vertical="center" wrapText="1"/>
      <protection/>
    </xf>
    <xf numFmtId="165" fontId="31" fillId="0" borderId="43" xfId="106" applyNumberFormat="1" applyFont="1" applyBorder="1" applyAlignment="1">
      <alignment horizontal="center" vertical="center"/>
      <protection/>
    </xf>
    <xf numFmtId="165" fontId="31" fillId="0" borderId="43" xfId="106" applyNumberFormat="1" applyFont="1" applyBorder="1" applyAlignment="1">
      <alignment vertical="center"/>
      <protection/>
    </xf>
    <xf numFmtId="165" fontId="31" fillId="0" borderId="59" xfId="106" applyNumberFormat="1" applyFont="1" applyBorder="1" applyAlignment="1">
      <alignment vertical="center"/>
      <protection/>
    </xf>
    <xf numFmtId="165" fontId="31" fillId="25" borderId="66" xfId="106" applyNumberFormat="1" applyFont="1" applyFill="1" applyBorder="1" applyAlignment="1">
      <alignment vertical="center" wrapText="1"/>
      <protection/>
    </xf>
    <xf numFmtId="165" fontId="31" fillId="25" borderId="69" xfId="106" applyNumberFormat="1" applyFont="1" applyFill="1" applyBorder="1" applyAlignment="1">
      <alignment horizontal="left" vertical="center" wrapText="1"/>
      <protection/>
    </xf>
    <xf numFmtId="165" fontId="31" fillId="0" borderId="69" xfId="106" applyNumberFormat="1" applyFont="1" applyBorder="1" applyAlignment="1">
      <alignment vertical="center"/>
      <protection/>
    </xf>
    <xf numFmtId="165" fontId="31" fillId="0" borderId="68" xfId="106" applyNumberFormat="1" applyFont="1" applyBorder="1" applyAlignment="1">
      <alignment vertical="center"/>
      <protection/>
    </xf>
    <xf numFmtId="165" fontId="31" fillId="0" borderId="76" xfId="106" applyNumberFormat="1" applyFont="1" applyBorder="1" applyAlignment="1">
      <alignment vertical="center"/>
      <protection/>
    </xf>
    <xf numFmtId="165" fontId="31" fillId="0" borderId="74" xfId="106" applyNumberFormat="1" applyFont="1" applyBorder="1" applyAlignment="1">
      <alignment horizontal="left" vertical="center"/>
      <protection/>
    </xf>
    <xf numFmtId="165" fontId="31" fillId="0" borderId="64" xfId="106" applyNumberFormat="1" applyFont="1" applyBorder="1" applyAlignment="1">
      <alignment horizontal="center" vertical="center"/>
      <protection/>
    </xf>
    <xf numFmtId="165" fontId="31" fillId="0" borderId="74" xfId="106" applyNumberFormat="1" applyFont="1" applyBorder="1" applyAlignment="1">
      <alignment horizontal="left" vertical="center" wrapText="1"/>
      <protection/>
    </xf>
    <xf numFmtId="165" fontId="31" fillId="0" borderId="74" xfId="106" applyNumberFormat="1" applyFont="1" applyBorder="1" applyAlignment="1">
      <alignment vertical="center" wrapText="1"/>
      <protection/>
    </xf>
    <xf numFmtId="165" fontId="31" fillId="0" borderId="77" xfId="106" applyNumberFormat="1" applyFont="1" applyBorder="1" applyAlignment="1">
      <alignment vertical="center" wrapText="1"/>
      <protection/>
    </xf>
    <xf numFmtId="165" fontId="31" fillId="0" borderId="64" xfId="106" applyNumberFormat="1" applyFont="1" applyBorder="1" applyAlignment="1">
      <alignment horizontal="left" vertical="center" wrapText="1"/>
      <protection/>
    </xf>
    <xf numFmtId="165" fontId="31" fillId="0" borderId="64" xfId="106" applyNumberFormat="1" applyFont="1" applyBorder="1" applyAlignment="1">
      <alignment vertical="center"/>
      <protection/>
    </xf>
    <xf numFmtId="165" fontId="31" fillId="0" borderId="78" xfId="106" applyNumberFormat="1" applyFont="1" applyBorder="1" applyAlignment="1">
      <alignment vertical="center"/>
      <protection/>
    </xf>
    <xf numFmtId="165" fontId="31" fillId="0" borderId="69" xfId="106" applyNumberFormat="1" applyFont="1" applyBorder="1" applyAlignment="1">
      <alignment horizontal="left" vertical="center" wrapText="1"/>
      <protection/>
    </xf>
    <xf numFmtId="165" fontId="31" fillId="0" borderId="79" xfId="106" applyNumberFormat="1" applyFont="1" applyBorder="1" applyAlignment="1">
      <alignment vertical="center" wrapText="1"/>
      <protection/>
    </xf>
    <xf numFmtId="165" fontId="31" fillId="0" borderId="80" xfId="106" applyNumberFormat="1" applyFont="1" applyBorder="1" applyAlignment="1">
      <alignment vertical="center"/>
      <protection/>
    </xf>
    <xf numFmtId="165" fontId="54" fillId="0" borderId="43" xfId="106" applyNumberFormat="1" applyFont="1" applyBorder="1" applyAlignment="1">
      <alignment horizontal="center" vertical="center"/>
      <protection/>
    </xf>
    <xf numFmtId="165" fontId="53" fillId="0" borderId="43" xfId="106" applyNumberFormat="1" applyFont="1" applyBorder="1" applyAlignment="1">
      <alignment vertical="center"/>
      <protection/>
    </xf>
    <xf numFmtId="165" fontId="53" fillId="0" borderId="59" xfId="106" applyNumberFormat="1" applyFont="1" applyBorder="1" applyAlignment="1">
      <alignment vertical="center"/>
      <protection/>
    </xf>
    <xf numFmtId="165" fontId="31" fillId="0" borderId="69" xfId="106" applyNumberFormat="1" applyFont="1" applyBorder="1" applyAlignment="1">
      <alignment vertical="center" wrapText="1"/>
      <protection/>
    </xf>
    <xf numFmtId="165" fontId="31" fillId="0" borderId="68" xfId="106" applyNumberFormat="1" applyFont="1" applyBorder="1" applyAlignment="1">
      <alignment horizontal="left" vertical="center" wrapText="1"/>
      <protection/>
    </xf>
    <xf numFmtId="165" fontId="31" fillId="0" borderId="68" xfId="106" applyNumberFormat="1" applyFont="1" applyBorder="1" applyAlignment="1">
      <alignment vertical="center" wrapText="1"/>
      <protection/>
    </xf>
    <xf numFmtId="165" fontId="31" fillId="0" borderId="46" xfId="106" applyNumberFormat="1" applyFont="1" applyBorder="1" applyAlignment="1">
      <alignment vertical="center"/>
      <protection/>
    </xf>
    <xf numFmtId="165" fontId="31" fillId="0" borderId="81" xfId="106" applyNumberFormat="1" applyFont="1" applyBorder="1" applyAlignment="1">
      <alignment vertical="center" wrapText="1"/>
      <protection/>
    </xf>
    <xf numFmtId="165" fontId="31" fillId="0" borderId="64" xfId="106" applyNumberFormat="1" applyFont="1" applyBorder="1" applyAlignment="1">
      <alignment vertical="center" wrapText="1"/>
      <protection/>
    </xf>
    <xf numFmtId="165" fontId="53" fillId="0" borderId="57" xfId="106" applyNumberFormat="1" applyFont="1" applyBorder="1" applyAlignment="1">
      <alignment vertical="center"/>
      <protection/>
    </xf>
    <xf numFmtId="165" fontId="53" fillId="0" borderId="43" xfId="106" applyNumberFormat="1" applyFont="1" applyBorder="1" applyAlignment="1">
      <alignment horizontal="left" vertical="center"/>
      <protection/>
    </xf>
    <xf numFmtId="165" fontId="53" fillId="0" borderId="43" xfId="106" applyNumberFormat="1" applyFont="1" applyBorder="1" applyAlignment="1">
      <alignment horizontal="center" vertical="center"/>
      <protection/>
    </xf>
    <xf numFmtId="165" fontId="53" fillId="0" borderId="49" xfId="106" applyNumberFormat="1" applyFont="1" applyBorder="1" applyAlignment="1">
      <alignment vertical="center"/>
      <protection/>
    </xf>
    <xf numFmtId="165" fontId="53" fillId="0" borderId="62" xfId="106" applyNumberFormat="1" applyFont="1" applyBorder="1" applyAlignment="1">
      <alignment horizontal="left" vertical="center"/>
      <protection/>
    </xf>
    <xf numFmtId="165" fontId="53" fillId="0" borderId="51" xfId="106" applyNumberFormat="1" applyFont="1" applyBorder="1" applyAlignment="1">
      <alignment vertical="center"/>
      <protection/>
    </xf>
    <xf numFmtId="165" fontId="53" fillId="0" borderId="62" xfId="106" applyNumberFormat="1" applyFont="1" applyBorder="1" applyAlignment="1">
      <alignment horizontal="center" vertical="center"/>
      <protection/>
    </xf>
    <xf numFmtId="165" fontId="53" fillId="0" borderId="62" xfId="106" applyNumberFormat="1" applyFont="1" applyBorder="1" applyAlignment="1">
      <alignment vertical="center"/>
      <protection/>
    </xf>
    <xf numFmtId="165" fontId="53" fillId="0" borderId="63" xfId="106" applyNumberFormat="1" applyFont="1" applyBorder="1" applyAlignment="1">
      <alignment vertical="center"/>
      <protection/>
    </xf>
    <xf numFmtId="165" fontId="53" fillId="0" borderId="0" xfId="106" applyNumberFormat="1" applyFont="1" applyBorder="1" applyAlignment="1">
      <alignment vertical="center"/>
      <protection/>
    </xf>
    <xf numFmtId="165" fontId="53" fillId="0" borderId="0" xfId="106" applyNumberFormat="1" applyFont="1" applyBorder="1" applyAlignment="1">
      <alignment horizontal="left" vertical="center"/>
      <protection/>
    </xf>
    <xf numFmtId="165" fontId="31" fillId="0" borderId="65" xfId="106" applyNumberFormat="1" applyFont="1" applyBorder="1" applyAlignment="1">
      <alignment vertical="center"/>
      <protection/>
    </xf>
    <xf numFmtId="165" fontId="31" fillId="0" borderId="66" xfId="106" applyNumberFormat="1" applyFont="1" applyBorder="1" applyAlignment="1">
      <alignment horizontal="left" vertical="center"/>
      <protection/>
    </xf>
    <xf numFmtId="165" fontId="31" fillId="0" borderId="71" xfId="106" applyNumberFormat="1" applyFont="1" applyBorder="1" applyAlignment="1">
      <alignment vertical="center"/>
      <protection/>
    </xf>
    <xf numFmtId="165" fontId="31" fillId="0" borderId="69" xfId="106" applyNumberFormat="1" applyFont="1" applyBorder="1" applyAlignment="1">
      <alignment horizontal="left" vertical="center"/>
      <protection/>
    </xf>
    <xf numFmtId="165" fontId="31" fillId="0" borderId="53" xfId="106" applyNumberFormat="1" applyFont="1" applyBorder="1" applyAlignment="1">
      <alignment vertical="center"/>
      <protection/>
    </xf>
    <xf numFmtId="165" fontId="31" fillId="0" borderId="46" xfId="106" applyNumberFormat="1" applyFont="1" applyBorder="1" applyAlignment="1">
      <alignment horizontal="left" vertical="center"/>
      <protection/>
    </xf>
    <xf numFmtId="165" fontId="54" fillId="0" borderId="46" xfId="106" applyNumberFormat="1" applyFont="1" applyBorder="1" applyAlignment="1">
      <alignment horizontal="center" vertical="center"/>
      <protection/>
    </xf>
    <xf numFmtId="165" fontId="31" fillId="0" borderId="72" xfId="106" applyNumberFormat="1" applyFont="1" applyBorder="1" applyAlignment="1">
      <alignment vertical="center"/>
      <protection/>
    </xf>
    <xf numFmtId="165" fontId="31" fillId="0" borderId="68" xfId="106" applyNumberFormat="1" applyFont="1" applyBorder="1" applyAlignment="1">
      <alignment horizontal="left" vertical="center"/>
      <protection/>
    </xf>
    <xf numFmtId="165" fontId="31" fillId="0" borderId="57" xfId="106" applyNumberFormat="1" applyFont="1" applyBorder="1" applyAlignment="1">
      <alignment vertical="center"/>
      <protection/>
    </xf>
    <xf numFmtId="165" fontId="31" fillId="0" borderId="43" xfId="106" applyNumberFormat="1" applyFont="1" applyBorder="1" applyAlignment="1">
      <alignment horizontal="left" vertical="center"/>
      <protection/>
    </xf>
    <xf numFmtId="165" fontId="31" fillId="0" borderId="46" xfId="106" applyNumberFormat="1" applyFont="1" applyBorder="1" applyAlignment="1">
      <alignment horizontal="center" vertical="center"/>
      <protection/>
    </xf>
    <xf numFmtId="165" fontId="29" fillId="0" borderId="77" xfId="106" applyNumberFormat="1" applyFont="1" applyBorder="1" applyAlignment="1">
      <alignment vertical="center"/>
      <protection/>
    </xf>
    <xf numFmtId="165" fontId="31" fillId="0" borderId="64" xfId="106" applyNumberFormat="1" applyFont="1" applyBorder="1" applyAlignment="1">
      <alignment horizontal="left" vertical="center"/>
      <protection/>
    </xf>
    <xf numFmtId="165" fontId="31" fillId="0" borderId="77" xfId="106" applyNumberFormat="1" applyFont="1" applyBorder="1" applyAlignment="1">
      <alignment vertical="center"/>
      <protection/>
    </xf>
    <xf numFmtId="165" fontId="31" fillId="0" borderId="73" xfId="106" applyNumberFormat="1" applyFont="1" applyBorder="1" applyAlignment="1">
      <alignment vertical="center"/>
      <protection/>
    </xf>
    <xf numFmtId="165" fontId="53" fillId="0" borderId="58" xfId="106" applyNumberFormat="1" applyFont="1" applyBorder="1" applyAlignment="1">
      <alignment horizontal="center" vertical="center" wrapText="1"/>
      <protection/>
    </xf>
    <xf numFmtId="165" fontId="53" fillId="0" borderId="60" xfId="106" applyNumberFormat="1" applyFont="1" applyBorder="1" applyAlignment="1">
      <alignment horizontal="center" vertical="center" wrapText="1"/>
      <protection/>
    </xf>
    <xf numFmtId="165" fontId="31" fillId="0" borderId="62" xfId="106" applyNumberFormat="1" applyFont="1" applyBorder="1" applyAlignment="1">
      <alignment horizontal="center" vertical="center"/>
      <protection/>
    </xf>
    <xf numFmtId="178" fontId="44" fillId="0" borderId="11" xfId="75" applyNumberFormat="1" applyFont="1" applyFill="1" applyBorder="1" applyAlignment="1" applyProtection="1">
      <alignment horizontal="right"/>
      <protection locked="0"/>
    </xf>
    <xf numFmtId="178" fontId="44" fillId="0" borderId="12" xfId="75" applyNumberFormat="1" applyFont="1" applyFill="1" applyBorder="1" applyAlignment="1" applyProtection="1">
      <alignment/>
      <protection locked="0"/>
    </xf>
    <xf numFmtId="0" fontId="53" fillId="0" borderId="0" xfId="111" applyFont="1" applyFill="1" applyAlignment="1" applyProtection="1">
      <alignment vertical="center"/>
      <protection locked="0"/>
    </xf>
    <xf numFmtId="0" fontId="29" fillId="0" borderId="0" xfId="111" applyFont="1" applyFill="1">
      <alignment/>
      <protection/>
    </xf>
    <xf numFmtId="0" fontId="54" fillId="0" borderId="19" xfId="111" applyFont="1" applyFill="1" applyBorder="1" applyAlignment="1">
      <alignment horizontal="center" vertical="center"/>
      <protection/>
    </xf>
    <xf numFmtId="0" fontId="54" fillId="0" borderId="0" xfId="111" applyFont="1" applyFill="1">
      <alignment/>
      <protection/>
    </xf>
    <xf numFmtId="0" fontId="55" fillId="0" borderId="41" xfId="111" applyNumberFormat="1" applyFont="1" applyFill="1" applyBorder="1" applyAlignment="1" applyProtection="1">
      <alignment horizontal="center" vertical="center"/>
      <protection/>
    </xf>
    <xf numFmtId="0" fontId="55" fillId="0" borderId="15" xfId="111" applyNumberFormat="1" applyFont="1" applyFill="1" applyBorder="1" applyAlignment="1" applyProtection="1">
      <alignment horizontal="center" vertical="center"/>
      <protection/>
    </xf>
    <xf numFmtId="0" fontId="55" fillId="0" borderId="42" xfId="111" applyNumberFormat="1" applyFont="1" applyFill="1" applyBorder="1" applyAlignment="1" applyProtection="1">
      <alignment horizontal="center" vertical="center"/>
      <protection/>
    </xf>
    <xf numFmtId="0" fontId="31" fillId="0" borderId="0" xfId="111" applyFont="1" applyFill="1" applyAlignment="1">
      <alignment vertical="center"/>
      <protection/>
    </xf>
    <xf numFmtId="179" fontId="56" fillId="0" borderId="29" xfId="111" applyNumberFormat="1" applyFont="1" applyFill="1" applyBorder="1" applyAlignment="1">
      <alignment horizontal="center" vertical="center"/>
      <protection/>
    </xf>
    <xf numFmtId="0" fontId="56" fillId="0" borderId="16" xfId="111" applyFont="1" applyFill="1" applyBorder="1" applyAlignment="1">
      <alignment horizontal="left" vertical="center" wrapText="1"/>
      <protection/>
    </xf>
    <xf numFmtId="178" fontId="56" fillId="0" borderId="16" xfId="111" applyNumberFormat="1" applyFont="1" applyFill="1" applyBorder="1" applyAlignment="1" applyProtection="1">
      <alignment horizontal="right" vertical="center"/>
      <protection locked="0"/>
    </xf>
    <xf numFmtId="178" fontId="56" fillId="0" borderId="39" xfId="111" applyNumberFormat="1" applyFont="1" applyFill="1" applyBorder="1" applyAlignment="1" applyProtection="1">
      <alignment horizontal="right" vertical="center"/>
      <protection locked="0"/>
    </xf>
    <xf numFmtId="179" fontId="56" fillId="0" borderId="32" xfId="111" applyNumberFormat="1" applyFont="1" applyFill="1" applyBorder="1" applyAlignment="1">
      <alignment horizontal="center" vertical="center"/>
      <protection/>
    </xf>
    <xf numFmtId="0" fontId="56" fillId="0" borderId="10" xfId="111" applyFont="1" applyFill="1" applyBorder="1" applyAlignment="1">
      <alignment horizontal="left" vertical="center" wrapText="1"/>
      <protection/>
    </xf>
    <xf numFmtId="178" fontId="56" fillId="0" borderId="10" xfId="111" applyNumberFormat="1" applyFont="1" applyFill="1" applyBorder="1" applyAlignment="1" applyProtection="1">
      <alignment horizontal="right" vertical="center"/>
      <protection locked="0"/>
    </xf>
    <xf numFmtId="178" fontId="56" fillId="0" borderId="30" xfId="111" applyNumberFormat="1" applyFont="1" applyFill="1" applyBorder="1" applyAlignment="1" applyProtection="1">
      <alignment horizontal="right" vertical="center"/>
      <protection locked="0"/>
    </xf>
    <xf numFmtId="179" fontId="56" fillId="0" borderId="34" xfId="111" applyNumberFormat="1" applyFont="1" applyFill="1" applyBorder="1" applyAlignment="1">
      <alignment horizontal="center" vertical="center"/>
      <protection/>
    </xf>
    <xf numFmtId="0" fontId="56" fillId="0" borderId="17" xfId="111" applyFont="1" applyFill="1" applyBorder="1" applyAlignment="1">
      <alignment horizontal="left" vertical="center" wrapText="1"/>
      <protection/>
    </xf>
    <xf numFmtId="178" fontId="56" fillId="0" borderId="17" xfId="111" applyNumberFormat="1" applyFont="1" applyFill="1" applyBorder="1" applyAlignment="1" applyProtection="1">
      <alignment horizontal="right" vertical="center"/>
      <protection locked="0"/>
    </xf>
    <xf numFmtId="178" fontId="56" fillId="0" borderId="35" xfId="111" applyNumberFormat="1" applyFont="1" applyFill="1" applyBorder="1" applyAlignment="1" applyProtection="1">
      <alignment horizontal="right" vertical="center"/>
      <protection locked="0"/>
    </xf>
    <xf numFmtId="179" fontId="57" fillId="0" borderId="37" xfId="111" applyNumberFormat="1" applyFont="1" applyFill="1" applyBorder="1" applyAlignment="1">
      <alignment horizontal="center" vertical="center"/>
      <protection/>
    </xf>
    <xf numFmtId="0" fontId="57" fillId="0" borderId="18" xfId="111" applyFont="1" applyFill="1" applyBorder="1" applyAlignment="1">
      <alignment horizontal="left" vertical="center" wrapText="1"/>
      <protection/>
    </xf>
    <xf numFmtId="178" fontId="58" fillId="0" borderId="18" xfId="111" applyNumberFormat="1" applyFont="1" applyFill="1" applyBorder="1" applyAlignment="1">
      <alignment vertical="center"/>
      <protection/>
    </xf>
    <xf numFmtId="178" fontId="58" fillId="0" borderId="38" xfId="111" applyNumberFormat="1" applyFont="1" applyFill="1" applyBorder="1" applyAlignment="1">
      <alignment vertical="center"/>
      <protection/>
    </xf>
    <xf numFmtId="0" fontId="59" fillId="0" borderId="0" xfId="111" applyFont="1" applyFill="1" applyAlignment="1">
      <alignment vertical="center"/>
      <protection/>
    </xf>
    <xf numFmtId="178" fontId="56" fillId="0" borderId="16" xfId="111" applyNumberFormat="1" applyFont="1" applyFill="1" applyBorder="1" applyAlignment="1" applyProtection="1">
      <alignment vertical="center"/>
      <protection locked="0"/>
    </xf>
    <xf numFmtId="178" fontId="56" fillId="0" borderId="39" xfId="111" applyNumberFormat="1" applyFont="1" applyFill="1" applyBorder="1" applyAlignment="1" applyProtection="1">
      <alignment vertical="center"/>
      <protection locked="0"/>
    </xf>
    <xf numFmtId="178" fontId="56" fillId="0" borderId="17" xfId="111" applyNumberFormat="1" applyFont="1" applyFill="1" applyBorder="1" applyAlignment="1" applyProtection="1">
      <alignment vertical="center"/>
      <protection locked="0"/>
    </xf>
    <xf numFmtId="178" fontId="56" fillId="0" borderId="35" xfId="111" applyNumberFormat="1" applyFont="1" applyFill="1" applyBorder="1" applyAlignment="1" applyProtection="1">
      <alignment vertical="center"/>
      <protection locked="0"/>
    </xf>
    <xf numFmtId="178" fontId="56" fillId="24" borderId="10" xfId="111" applyNumberFormat="1" applyFont="1" applyFill="1" applyBorder="1" applyAlignment="1" applyProtection="1">
      <alignment vertical="center"/>
      <protection/>
    </xf>
    <xf numFmtId="178" fontId="56" fillId="0" borderId="30" xfId="111" applyNumberFormat="1" applyFont="1" applyFill="1" applyBorder="1" applyAlignment="1" applyProtection="1">
      <alignment vertical="center"/>
      <protection locked="0"/>
    </xf>
    <xf numFmtId="178" fontId="56" fillId="0" borderId="10" xfId="111" applyNumberFormat="1" applyFont="1" applyFill="1" applyBorder="1" applyAlignment="1" applyProtection="1">
      <alignment vertical="center"/>
      <protection locked="0"/>
    </xf>
    <xf numFmtId="178" fontId="58" fillId="0" borderId="18" xfId="111" applyNumberFormat="1" applyFont="1" applyFill="1" applyBorder="1" applyAlignment="1" applyProtection="1">
      <alignment vertical="center"/>
      <protection/>
    </xf>
    <xf numFmtId="178" fontId="58" fillId="0" borderId="38" xfId="111" applyNumberFormat="1" applyFont="1" applyFill="1" applyBorder="1" applyAlignment="1" applyProtection="1">
      <alignment vertical="center"/>
      <protection/>
    </xf>
    <xf numFmtId="179" fontId="57" fillId="0" borderId="26" xfId="111" applyNumberFormat="1" applyFont="1" applyFill="1" applyBorder="1" applyAlignment="1">
      <alignment horizontal="center" vertical="center"/>
      <protection/>
    </xf>
    <xf numFmtId="0" fontId="57" fillId="0" borderId="19" xfId="111" applyFont="1" applyFill="1" applyBorder="1" applyAlignment="1">
      <alignment horizontal="left" vertical="center" wrapText="1"/>
      <protection/>
    </xf>
    <xf numFmtId="178" fontId="58" fillId="0" borderId="19" xfId="111" applyNumberFormat="1" applyFont="1" applyFill="1" applyBorder="1" applyAlignment="1" applyProtection="1">
      <alignment vertical="center"/>
      <protection/>
    </xf>
    <xf numFmtId="178" fontId="58" fillId="0" borderId="27" xfId="111" applyNumberFormat="1" applyFont="1" applyFill="1" applyBorder="1" applyAlignment="1" applyProtection="1">
      <alignment vertical="center"/>
      <protection/>
    </xf>
    <xf numFmtId="179" fontId="57" fillId="0" borderId="41" xfId="111" applyNumberFormat="1" applyFont="1" applyFill="1" applyBorder="1" applyAlignment="1">
      <alignment horizontal="center" vertical="center"/>
      <protection/>
    </xf>
    <xf numFmtId="0" fontId="57" fillId="0" borderId="15" xfId="111" applyFont="1" applyFill="1" applyBorder="1" applyAlignment="1">
      <alignment horizontal="left" vertical="center" wrapText="1"/>
      <protection/>
    </xf>
    <xf numFmtId="178" fontId="58" fillId="0" borderId="15" xfId="111" applyNumberFormat="1" applyFont="1" applyFill="1" applyBorder="1" applyAlignment="1" applyProtection="1">
      <alignment vertical="center"/>
      <protection/>
    </xf>
    <xf numFmtId="178" fontId="58" fillId="0" borderId="42" xfId="111" applyNumberFormat="1" applyFont="1" applyFill="1" applyBorder="1" applyAlignment="1" applyProtection="1">
      <alignment vertical="center"/>
      <protection/>
    </xf>
    <xf numFmtId="178" fontId="56" fillId="24" borderId="17" xfId="111" applyNumberFormat="1" applyFont="1" applyFill="1" applyBorder="1" applyAlignment="1" applyProtection="1">
      <alignment vertical="center"/>
      <protection/>
    </xf>
    <xf numFmtId="179" fontId="57" fillId="0" borderId="23" xfId="111" applyNumberFormat="1" applyFont="1" applyFill="1" applyBorder="1" applyAlignment="1">
      <alignment horizontal="center" vertical="center"/>
      <protection/>
    </xf>
    <xf numFmtId="0" fontId="57" fillId="0" borderId="20" xfId="111" applyFont="1" applyFill="1" applyBorder="1" applyAlignment="1">
      <alignment horizontal="left" vertical="center" wrapText="1"/>
      <protection/>
    </xf>
    <xf numFmtId="178" fontId="58" fillId="0" borderId="24" xfId="111" applyNumberFormat="1" applyFont="1" applyFill="1" applyBorder="1" applyAlignment="1" applyProtection="1">
      <alignment vertical="center"/>
      <protection/>
    </xf>
    <xf numFmtId="179" fontId="57" fillId="0" borderId="82" xfId="111" applyNumberFormat="1" applyFont="1" applyFill="1" applyBorder="1" applyAlignment="1">
      <alignment horizontal="center" vertical="center"/>
      <protection/>
    </xf>
    <xf numFmtId="0" fontId="57" fillId="0" borderId="21" xfId="111" applyFont="1" applyFill="1" applyBorder="1" applyAlignment="1">
      <alignment horizontal="left" vertical="center" wrapText="1"/>
      <protection/>
    </xf>
    <xf numFmtId="178" fontId="58" fillId="0" borderId="21" xfId="111" applyNumberFormat="1" applyFont="1" applyFill="1" applyBorder="1" applyAlignment="1" applyProtection="1">
      <alignment vertical="center"/>
      <protection/>
    </xf>
    <xf numFmtId="178" fontId="58" fillId="0" borderId="83" xfId="111" applyNumberFormat="1" applyFont="1" applyFill="1" applyBorder="1" applyAlignment="1" applyProtection="1">
      <alignment vertical="center"/>
      <protection/>
    </xf>
    <xf numFmtId="178" fontId="58" fillId="24" borderId="21" xfId="111" applyNumberFormat="1" applyFont="1" applyFill="1" applyBorder="1" applyAlignment="1" applyProtection="1">
      <alignment vertical="center"/>
      <protection/>
    </xf>
    <xf numFmtId="0" fontId="31" fillId="0" borderId="0" xfId="110" applyFont="1" applyAlignment="1">
      <alignment horizontal="center" vertical="center"/>
      <protection/>
    </xf>
    <xf numFmtId="0" fontId="41" fillId="0" borderId="23" xfId="111" applyFont="1" applyFill="1" applyBorder="1" applyAlignment="1">
      <alignment horizontal="center" vertical="center" wrapText="1"/>
      <protection/>
    </xf>
    <xf numFmtId="0" fontId="41" fillId="0" borderId="20" xfId="111" applyFont="1" applyFill="1" applyBorder="1" applyAlignment="1">
      <alignment horizontal="center" vertical="center"/>
      <protection/>
    </xf>
    <xf numFmtId="179" fontId="44" fillId="0" borderId="26" xfId="111" applyNumberFormat="1" applyFont="1" applyFill="1" applyBorder="1" applyAlignment="1">
      <alignment horizontal="center" vertical="center"/>
      <protection/>
    </xf>
    <xf numFmtId="0" fontId="44" fillId="0" borderId="19" xfId="111" applyFont="1" applyFill="1" applyBorder="1" applyAlignment="1">
      <alignment horizontal="left" vertical="center" wrapText="1" indent="1"/>
      <protection/>
    </xf>
    <xf numFmtId="179" fontId="44" fillId="0" borderId="29" xfId="111" applyNumberFormat="1" applyFont="1" applyFill="1" applyBorder="1" applyAlignment="1">
      <alignment horizontal="center" vertical="center"/>
      <protection/>
    </xf>
    <xf numFmtId="0" fontId="44" fillId="0" borderId="16" xfId="111" applyFont="1" applyFill="1" applyBorder="1" applyAlignment="1">
      <alignment horizontal="left" vertical="center" wrapText="1" indent="1"/>
      <protection/>
    </xf>
    <xf numFmtId="179" fontId="44" fillId="0" borderId="32" xfId="111" applyNumberFormat="1" applyFont="1" applyFill="1" applyBorder="1" applyAlignment="1">
      <alignment horizontal="center" vertical="center"/>
      <protection/>
    </xf>
    <xf numFmtId="0" fontId="44" fillId="0" borderId="10" xfId="111" applyFont="1" applyFill="1" applyBorder="1" applyAlignment="1">
      <alignment horizontal="left" vertical="center" wrapText="1" indent="1"/>
      <protection/>
    </xf>
    <xf numFmtId="179" fontId="44" fillId="0" borderId="34" xfId="111" applyNumberFormat="1" applyFont="1" applyFill="1" applyBorder="1" applyAlignment="1">
      <alignment horizontal="center" vertical="center"/>
      <protection/>
    </xf>
    <xf numFmtId="0" fontId="44" fillId="0" borderId="17" xfId="111" applyFont="1" applyFill="1" applyBorder="1" applyAlignment="1">
      <alignment horizontal="left" vertical="center" wrapText="1" indent="1"/>
      <protection/>
    </xf>
    <xf numFmtId="179" fontId="42" fillId="0" borderId="37" xfId="111" applyNumberFormat="1" applyFont="1" applyFill="1" applyBorder="1" applyAlignment="1">
      <alignment horizontal="center" vertical="center"/>
      <protection/>
    </xf>
    <xf numFmtId="0" fontId="42" fillId="0" borderId="18" xfId="111" applyFont="1" applyFill="1" applyBorder="1" applyAlignment="1">
      <alignment horizontal="left" vertical="center" wrapText="1" indent="1"/>
      <protection/>
    </xf>
    <xf numFmtId="179" fontId="44" fillId="0" borderId="41" xfId="111" applyNumberFormat="1" applyFont="1" applyFill="1" applyBorder="1" applyAlignment="1">
      <alignment horizontal="center" vertical="center"/>
      <protection/>
    </xf>
    <xf numFmtId="0" fontId="44" fillId="0" borderId="15" xfId="111" applyFont="1" applyFill="1" applyBorder="1" applyAlignment="1">
      <alignment horizontal="left" vertical="center" wrapText="1" indent="1"/>
      <protection/>
    </xf>
    <xf numFmtId="165" fontId="29" fillId="0" borderId="46" xfId="109" applyNumberFormat="1" applyFont="1" applyBorder="1" applyAlignment="1">
      <alignment horizontal="center" vertical="center"/>
      <protection/>
    </xf>
    <xf numFmtId="165" fontId="29" fillId="0" borderId="84" xfId="109" applyNumberFormat="1" applyFont="1" applyBorder="1" applyAlignment="1">
      <alignment horizontal="center" vertical="center"/>
      <protection/>
    </xf>
    <xf numFmtId="165" fontId="53" fillId="0" borderId="46" xfId="109" applyNumberFormat="1" applyFont="1" applyBorder="1" applyAlignment="1">
      <alignment vertical="center"/>
      <protection/>
    </xf>
    <xf numFmtId="165" fontId="53" fillId="0" borderId="55" xfId="109" applyNumberFormat="1" applyFont="1" applyBorder="1" applyAlignment="1">
      <alignment vertical="center"/>
      <protection/>
    </xf>
    <xf numFmtId="165" fontId="29" fillId="0" borderId="46" xfId="109" applyNumberFormat="1" applyFont="1" applyBorder="1" applyAlignment="1">
      <alignment vertical="center"/>
      <protection/>
    </xf>
    <xf numFmtId="165" fontId="29" fillId="0" borderId="84" xfId="109" applyNumberFormat="1" applyFont="1" applyBorder="1" applyAlignment="1">
      <alignment vertical="center"/>
      <protection/>
    </xf>
    <xf numFmtId="165" fontId="53" fillId="0" borderId="84" xfId="109" applyNumberFormat="1" applyFont="1" applyBorder="1" applyAlignment="1">
      <alignment vertical="center"/>
      <protection/>
    </xf>
    <xf numFmtId="165" fontId="53" fillId="0" borderId="43" xfId="109" applyNumberFormat="1" applyFont="1" applyBorder="1" applyAlignment="1">
      <alignment vertical="center"/>
      <protection/>
    </xf>
    <xf numFmtId="165" fontId="53" fillId="0" borderId="44" xfId="109" applyNumberFormat="1" applyFont="1" applyBorder="1" applyAlignment="1">
      <alignment vertical="center"/>
      <protection/>
    </xf>
    <xf numFmtId="165" fontId="53" fillId="0" borderId="43" xfId="109" applyNumberFormat="1" applyFont="1" applyBorder="1" applyAlignment="1">
      <alignment horizontal="center" vertical="center"/>
      <protection/>
    </xf>
    <xf numFmtId="165" fontId="53" fillId="0" borderId="44" xfId="109" applyNumberFormat="1" applyFont="1" applyBorder="1" applyAlignment="1">
      <alignment horizontal="center" vertical="center"/>
      <protection/>
    </xf>
    <xf numFmtId="0" fontId="61" fillId="0" borderId="0" xfId="111" applyFont="1" applyFill="1" applyAlignment="1">
      <alignment horizontal="right"/>
      <protection/>
    </xf>
    <xf numFmtId="0" fontId="29" fillId="0" borderId="0" xfId="113" applyFill="1">
      <alignment/>
      <protection/>
    </xf>
    <xf numFmtId="190" fontId="29" fillId="0" borderId="0" xfId="76" applyNumberFormat="1" applyFill="1" applyAlignment="1">
      <alignment/>
    </xf>
    <xf numFmtId="0" fontId="58" fillId="0" borderId="85" xfId="113" applyFont="1" applyFill="1" applyBorder="1" applyAlignment="1">
      <alignment horizontal="center" vertical="center" wrapText="1"/>
      <protection/>
    </xf>
    <xf numFmtId="0" fontId="58" fillId="0" borderId="86" xfId="113" applyFont="1" applyFill="1" applyBorder="1" applyAlignment="1">
      <alignment horizontal="center" vertical="center" wrapText="1"/>
      <protection/>
    </xf>
    <xf numFmtId="0" fontId="58" fillId="0" borderId="87" xfId="113" applyFont="1" applyFill="1" applyBorder="1" applyAlignment="1">
      <alignment horizontal="center" vertical="center" wrapText="1"/>
      <protection/>
    </xf>
    <xf numFmtId="190" fontId="29" fillId="0" borderId="0" xfId="76" applyNumberFormat="1" applyFill="1" applyAlignment="1">
      <alignment horizontal="center" vertical="center"/>
    </xf>
    <xf numFmtId="0" fontId="29" fillId="0" borderId="0" xfId="113" applyFill="1" applyAlignment="1">
      <alignment horizontal="center" vertical="center"/>
      <protection/>
    </xf>
    <xf numFmtId="0" fontId="57" fillId="0" borderId="88" xfId="113" applyFont="1" applyFill="1" applyBorder="1" applyAlignment="1">
      <alignment vertical="center" wrapText="1"/>
      <protection/>
    </xf>
    <xf numFmtId="0" fontId="56" fillId="0" borderId="89" xfId="113" applyFont="1" applyFill="1" applyBorder="1" applyAlignment="1">
      <alignment horizontal="center" vertical="center" wrapText="1"/>
      <protection/>
    </xf>
    <xf numFmtId="3" fontId="57" fillId="0" borderId="89" xfId="113" applyNumberFormat="1" applyFont="1" applyFill="1" applyBorder="1" applyAlignment="1">
      <alignment horizontal="right" vertical="center" wrapText="1"/>
      <protection/>
    </xf>
    <xf numFmtId="184" fontId="57" fillId="0" borderId="90" xfId="113" applyNumberFormat="1" applyFont="1" applyFill="1" applyBorder="1" applyAlignment="1">
      <alignment horizontal="right" vertical="center" wrapText="1"/>
      <protection/>
    </xf>
    <xf numFmtId="190" fontId="29" fillId="0" borderId="0" xfId="76" applyNumberFormat="1" applyFont="1" applyFill="1" applyAlignment="1">
      <alignment vertical="center"/>
    </xf>
    <xf numFmtId="0" fontId="29" fillId="0" borderId="0" xfId="113" applyFill="1" applyAlignment="1">
      <alignment vertical="center"/>
      <protection/>
    </xf>
    <xf numFmtId="0" fontId="58" fillId="0" borderId="91" xfId="113" applyFont="1" applyFill="1" applyBorder="1" applyAlignment="1">
      <alignment vertical="center" wrapText="1"/>
      <protection/>
    </xf>
    <xf numFmtId="0" fontId="56" fillId="0" borderId="92" xfId="113" applyFont="1" applyFill="1" applyBorder="1" applyAlignment="1">
      <alignment horizontal="center" vertical="center" wrapText="1"/>
      <protection/>
    </xf>
    <xf numFmtId="3" fontId="56" fillId="0" borderId="92" xfId="113" applyNumberFormat="1" applyFont="1" applyFill="1" applyBorder="1" applyAlignment="1">
      <alignment horizontal="right" vertical="center" wrapText="1"/>
      <protection/>
    </xf>
    <xf numFmtId="184" fontId="57" fillId="0" borderId="93" xfId="113" applyNumberFormat="1" applyFont="1" applyFill="1" applyBorder="1" applyAlignment="1">
      <alignment horizontal="right" vertical="center" wrapText="1"/>
      <protection/>
    </xf>
    <xf numFmtId="190" fontId="29" fillId="0" borderId="0" xfId="76" applyNumberFormat="1" applyFill="1" applyAlignment="1">
      <alignment vertical="center"/>
    </xf>
    <xf numFmtId="0" fontId="66" fillId="0" borderId="91" xfId="113" applyFont="1" applyFill="1" applyBorder="1" applyAlignment="1">
      <alignment horizontal="left" vertical="center" wrapText="1" indent="1"/>
      <protection/>
    </xf>
    <xf numFmtId="3" fontId="56" fillId="0" borderId="92" xfId="113" applyNumberFormat="1" applyFont="1" applyFill="1" applyBorder="1" applyAlignment="1">
      <alignment horizontal="right" vertical="center" wrapText="1"/>
      <protection/>
    </xf>
    <xf numFmtId="184" fontId="56" fillId="0" borderId="93" xfId="113" applyNumberFormat="1" applyFont="1" applyFill="1" applyBorder="1" applyAlignment="1">
      <alignment horizontal="right" vertical="center" wrapText="1"/>
      <protection/>
    </xf>
    <xf numFmtId="0" fontId="56" fillId="0" borderId="91" xfId="113" applyFont="1" applyFill="1" applyBorder="1" applyAlignment="1">
      <alignment vertical="center" wrapText="1"/>
      <protection/>
    </xf>
    <xf numFmtId="3" fontId="56" fillId="0" borderId="92" xfId="113" applyNumberFormat="1" applyFont="1" applyFill="1" applyBorder="1" applyAlignment="1" applyProtection="1">
      <alignment horizontal="right" vertical="center" wrapText="1"/>
      <protection locked="0"/>
    </xf>
    <xf numFmtId="3" fontId="56" fillId="0" borderId="94" xfId="113" applyNumberFormat="1" applyFont="1" applyFill="1" applyBorder="1" applyAlignment="1">
      <alignment horizontal="right" vertical="center" wrapText="1"/>
      <protection/>
    </xf>
    <xf numFmtId="3" fontId="56" fillId="0" borderId="94" xfId="113" applyNumberFormat="1" applyFont="1" applyFill="1" applyBorder="1" applyAlignment="1" applyProtection="1">
      <alignment horizontal="right" vertical="center" wrapText="1"/>
      <protection locked="0"/>
    </xf>
    <xf numFmtId="0" fontId="57" fillId="0" borderId="91" xfId="113" applyFont="1" applyFill="1" applyBorder="1" applyAlignment="1">
      <alignment vertical="center" wrapText="1"/>
      <protection/>
    </xf>
    <xf numFmtId="3" fontId="57" fillId="0" borderId="92" xfId="113" applyNumberFormat="1" applyFont="1" applyFill="1" applyBorder="1" applyAlignment="1">
      <alignment horizontal="right" vertical="center" wrapText="1"/>
      <protection/>
    </xf>
    <xf numFmtId="184" fontId="57" fillId="0" borderId="95" xfId="113" applyNumberFormat="1" applyFont="1" applyFill="1" applyBorder="1" applyAlignment="1">
      <alignment horizontal="right" vertical="center" wrapText="1"/>
      <protection/>
    </xf>
    <xf numFmtId="190" fontId="67" fillId="0" borderId="0" xfId="76" applyNumberFormat="1" applyFont="1" applyFill="1" applyAlignment="1">
      <alignment vertical="center"/>
    </xf>
    <xf numFmtId="3" fontId="29" fillId="0" borderId="0" xfId="113" applyNumberFormat="1" applyFont="1" applyFill="1" applyAlignment="1">
      <alignment vertical="center"/>
      <protection/>
    </xf>
    <xf numFmtId="3" fontId="29" fillId="0" borderId="0" xfId="113" applyNumberFormat="1" applyFill="1" applyAlignment="1">
      <alignment vertical="center"/>
      <protection/>
    </xf>
    <xf numFmtId="3" fontId="58" fillId="0" borderId="92" xfId="113" applyNumberFormat="1" applyFont="1" applyFill="1" applyBorder="1" applyAlignment="1">
      <alignment horizontal="right" vertical="center" wrapText="1"/>
      <protection/>
    </xf>
    <xf numFmtId="184" fontId="58" fillId="0" borderId="95" xfId="113" applyNumberFormat="1" applyFont="1" applyFill="1" applyBorder="1" applyAlignment="1">
      <alignment horizontal="right" vertical="center" wrapText="1"/>
      <protection/>
    </xf>
    <xf numFmtId="184" fontId="56" fillId="0" borderId="95" xfId="113" applyNumberFormat="1" applyFont="1" applyFill="1" applyBorder="1" applyAlignment="1">
      <alignment horizontal="right" vertical="center" wrapText="1"/>
      <protection/>
    </xf>
    <xf numFmtId="0" fontId="56" fillId="0" borderId="91" xfId="113" applyFont="1" applyFill="1" applyBorder="1" applyAlignment="1">
      <alignment horizontal="left" vertical="center" wrapText="1" indent="2"/>
      <protection/>
    </xf>
    <xf numFmtId="0" fontId="56" fillId="0" borderId="91" xfId="113" applyFont="1" applyFill="1" applyBorder="1" applyAlignment="1">
      <alignment horizontal="left" vertical="center" wrapText="1" indent="3"/>
      <protection/>
    </xf>
    <xf numFmtId="184" fontId="56" fillId="0" borderId="95" xfId="113" applyNumberFormat="1" applyFont="1" applyFill="1" applyBorder="1" applyAlignment="1" applyProtection="1">
      <alignment horizontal="right" vertical="center" wrapText="1"/>
      <protection locked="0"/>
    </xf>
    <xf numFmtId="0" fontId="56" fillId="0" borderId="88" xfId="113" applyFont="1" applyFill="1" applyBorder="1" applyAlignment="1">
      <alignment horizontal="left" vertical="center" wrapText="1" indent="3"/>
      <protection/>
    </xf>
    <xf numFmtId="0" fontId="29" fillId="0" borderId="0" xfId="113" applyFont="1" applyFill="1" applyAlignment="1">
      <alignment vertical="center"/>
      <protection/>
    </xf>
    <xf numFmtId="190" fontId="33" fillId="0" borderId="0" xfId="76" applyNumberFormat="1" applyFill="1" applyAlignment="1">
      <alignment/>
    </xf>
    <xf numFmtId="186" fontId="33" fillId="0" borderId="0" xfId="120" applyNumberFormat="1" applyFill="1" applyAlignment="1">
      <alignment/>
    </xf>
    <xf numFmtId="190" fontId="31" fillId="0" borderId="0" xfId="76" applyNumberFormat="1" applyFont="1" applyFill="1" applyAlignment="1">
      <alignment vertical="center"/>
    </xf>
    <xf numFmtId="186" fontId="29" fillId="0" borderId="0" xfId="113" applyNumberFormat="1" applyFill="1" applyAlignment="1">
      <alignment vertical="center"/>
      <protection/>
    </xf>
    <xf numFmtId="190" fontId="53" fillId="0" borderId="0" xfId="76" applyNumberFormat="1" applyFont="1" applyFill="1" applyAlignment="1">
      <alignment vertical="center"/>
    </xf>
    <xf numFmtId="186" fontId="53" fillId="0" borderId="0" xfId="113" applyNumberFormat="1" applyFont="1" applyFill="1" applyAlignment="1">
      <alignment vertical="center"/>
      <protection/>
    </xf>
    <xf numFmtId="0" fontId="29" fillId="0" borderId="92" xfId="113" applyFill="1" applyBorder="1" applyAlignment="1">
      <alignment vertical="center"/>
      <protection/>
    </xf>
    <xf numFmtId="190" fontId="68" fillId="0" borderId="0" xfId="76" applyNumberFormat="1" applyFont="1" applyFill="1" applyBorder="1" applyAlignment="1">
      <alignment/>
    </xf>
    <xf numFmtId="186" fontId="68" fillId="0" borderId="0" xfId="120" applyNumberFormat="1" applyFont="1" applyFill="1" applyBorder="1" applyAlignment="1">
      <alignment/>
    </xf>
    <xf numFmtId="184" fontId="58" fillId="0" borderId="92" xfId="113" applyNumberFormat="1" applyFont="1" applyFill="1" applyBorder="1" applyAlignment="1">
      <alignment horizontal="right" vertical="center" wrapText="1"/>
      <protection/>
    </xf>
    <xf numFmtId="44" fontId="29" fillId="0" borderId="0" xfId="120" applyFill="1" applyAlignment="1">
      <alignment vertical="center"/>
    </xf>
    <xf numFmtId="3" fontId="58" fillId="0" borderId="94" xfId="113" applyNumberFormat="1" applyFont="1" applyFill="1" applyBorder="1" applyAlignment="1">
      <alignment horizontal="right" vertical="center" wrapText="1"/>
      <protection/>
    </xf>
    <xf numFmtId="3" fontId="58" fillId="0" borderId="92" xfId="113" applyNumberFormat="1" applyFont="1" applyFill="1" applyBorder="1" applyAlignment="1" applyProtection="1">
      <alignment horizontal="right" vertical="center" wrapText="1"/>
      <protection locked="0"/>
    </xf>
    <xf numFmtId="184" fontId="58" fillId="0" borderId="93" xfId="113" applyNumberFormat="1" applyFont="1" applyFill="1" applyBorder="1" applyAlignment="1">
      <alignment horizontal="right" vertical="center" wrapText="1"/>
      <protection/>
    </xf>
    <xf numFmtId="186" fontId="29" fillId="0" borderId="0" xfId="120" applyNumberFormat="1" applyFill="1" applyAlignment="1">
      <alignment vertical="center"/>
    </xf>
    <xf numFmtId="0" fontId="56" fillId="0" borderId="91" xfId="113" applyFont="1" applyFill="1" applyBorder="1" applyAlignment="1">
      <alignment horizontal="left" vertical="center" wrapText="1" indent="1"/>
      <protection/>
    </xf>
    <xf numFmtId="3" fontId="56" fillId="0" borderId="0" xfId="120" applyNumberFormat="1" applyFont="1" applyFill="1" applyAlignment="1">
      <alignment/>
    </xf>
    <xf numFmtId="186" fontId="53" fillId="0" borderId="0" xfId="120" applyNumberFormat="1" applyFont="1" applyFill="1" applyAlignment="1">
      <alignment vertical="center"/>
    </xf>
    <xf numFmtId="3" fontId="57" fillId="0" borderId="92" xfId="113" applyNumberFormat="1" applyFont="1" applyFill="1" applyBorder="1" applyAlignment="1" applyProtection="1">
      <alignment horizontal="right" vertical="center" wrapText="1"/>
      <protection locked="0"/>
    </xf>
    <xf numFmtId="3" fontId="66" fillId="0" borderId="0" xfId="114" applyNumberFormat="1" applyFont="1" applyFill="1" applyAlignment="1">
      <alignment vertical="center"/>
      <protection/>
    </xf>
    <xf numFmtId="3" fontId="57" fillId="0" borderId="95" xfId="113" applyNumberFormat="1" applyFont="1" applyFill="1" applyBorder="1" applyAlignment="1">
      <alignment horizontal="right" vertical="center" wrapText="1"/>
      <protection/>
    </xf>
    <xf numFmtId="0" fontId="58" fillId="0" borderId="91" xfId="113" applyFont="1" applyFill="1" applyBorder="1" applyAlignment="1">
      <alignment horizontal="left" vertical="center" wrapText="1" indent="1"/>
      <protection/>
    </xf>
    <xf numFmtId="190" fontId="56" fillId="0" borderId="96" xfId="76" applyNumberFormat="1" applyFont="1" applyFill="1" applyBorder="1" applyAlignment="1">
      <alignment horizontal="right" vertical="center" wrapText="1"/>
    </xf>
    <xf numFmtId="3" fontId="56" fillId="0" borderId="0" xfId="113" applyNumberFormat="1" applyFont="1" applyFill="1" applyBorder="1" applyAlignment="1">
      <alignment horizontal="right" vertical="center" wrapText="1"/>
      <protection/>
    </xf>
    <xf numFmtId="3" fontId="56" fillId="0" borderId="94" xfId="113" applyNumberFormat="1" applyFont="1" applyFill="1" applyBorder="1" applyAlignment="1" applyProtection="1">
      <alignment horizontal="right" vertical="center" wrapText="1"/>
      <protection/>
    </xf>
    <xf numFmtId="0" fontId="57" fillId="0" borderId="91" xfId="113" applyFont="1" applyFill="1" applyBorder="1" applyAlignment="1">
      <alignment horizontal="left" vertical="center" wrapText="1"/>
      <protection/>
    </xf>
    <xf numFmtId="0" fontId="56" fillId="0" borderId="91" xfId="113" applyFont="1" applyFill="1" applyBorder="1" applyAlignment="1">
      <alignment horizontal="left" vertical="center" indent="2"/>
      <protection/>
    </xf>
    <xf numFmtId="3" fontId="58" fillId="0" borderId="92" xfId="113" applyNumberFormat="1" applyFont="1" applyFill="1" applyBorder="1" applyAlignment="1" applyProtection="1">
      <alignment horizontal="right" vertical="center" wrapText="1"/>
      <protection/>
    </xf>
    <xf numFmtId="3" fontId="57" fillId="0" borderId="94" xfId="113" applyNumberFormat="1" applyFont="1" applyFill="1" applyBorder="1" applyAlignment="1">
      <alignment horizontal="right" vertical="center" wrapText="1"/>
      <protection/>
    </xf>
    <xf numFmtId="0" fontId="57" fillId="0" borderId="85" xfId="113" applyFont="1" applyFill="1" applyBorder="1" applyAlignment="1">
      <alignment vertical="center" wrapText="1"/>
      <protection/>
    </xf>
    <xf numFmtId="0" fontId="56" fillId="0" borderId="86" xfId="113" applyFont="1" applyFill="1" applyBorder="1" applyAlignment="1">
      <alignment horizontal="center" vertical="center" wrapText="1"/>
      <protection/>
    </xf>
    <xf numFmtId="3" fontId="57" fillId="0" borderId="97" xfId="113" applyNumberFormat="1" applyFont="1" applyFill="1" applyBorder="1" applyAlignment="1">
      <alignment horizontal="right" vertical="center" wrapText="1"/>
      <protection/>
    </xf>
    <xf numFmtId="3" fontId="57" fillId="0" borderId="86" xfId="113" applyNumberFormat="1" applyFont="1" applyFill="1" applyBorder="1" applyAlignment="1">
      <alignment horizontal="right" vertical="center" wrapText="1"/>
      <protection/>
    </xf>
    <xf numFmtId="184" fontId="57" fillId="0" borderId="98" xfId="113" applyNumberFormat="1" applyFont="1" applyFill="1" applyBorder="1" applyAlignment="1">
      <alignment horizontal="right" vertical="center" wrapText="1"/>
      <protection/>
    </xf>
    <xf numFmtId="0" fontId="56" fillId="0" borderId="0" xfId="113" applyFont="1" applyFill="1">
      <alignment/>
      <protection/>
    </xf>
    <xf numFmtId="0" fontId="29" fillId="0" borderId="0" xfId="113" applyFont="1" applyFill="1">
      <alignment/>
      <protection/>
    </xf>
    <xf numFmtId="3" fontId="29" fillId="0" borderId="0" xfId="113" applyNumberFormat="1" applyFont="1" applyFill="1">
      <alignment/>
      <protection/>
    </xf>
    <xf numFmtId="3" fontId="29" fillId="0" borderId="0" xfId="113" applyNumberFormat="1" applyFont="1" applyFill="1" applyAlignment="1">
      <alignment horizontal="center"/>
      <protection/>
    </xf>
    <xf numFmtId="190" fontId="29" fillId="0" borderId="0" xfId="76" applyNumberFormat="1" applyFont="1" applyFill="1" applyAlignment="1">
      <alignment/>
    </xf>
    <xf numFmtId="0" fontId="56" fillId="0" borderId="0" xfId="113" applyFont="1" applyFill="1" applyProtection="1">
      <alignment/>
      <protection locked="0"/>
    </xf>
    <xf numFmtId="0" fontId="29" fillId="0" borderId="0" xfId="113" applyFill="1" applyAlignment="1">
      <alignment horizontal="center"/>
      <protection/>
    </xf>
    <xf numFmtId="0" fontId="33" fillId="0" borderId="0" xfId="112" applyFill="1" applyAlignment="1" applyProtection="1">
      <alignment vertical="center" wrapText="1"/>
      <protection/>
    </xf>
    <xf numFmtId="0" fontId="33" fillId="0" borderId="0" xfId="112" applyFill="1" applyAlignment="1" applyProtection="1">
      <alignment vertical="center"/>
      <protection locked="0"/>
    </xf>
    <xf numFmtId="0" fontId="33" fillId="0" borderId="0" xfId="112" applyFill="1" applyAlignment="1" applyProtection="1">
      <alignment horizontal="center" vertical="center"/>
      <protection/>
    </xf>
    <xf numFmtId="49" fontId="42" fillId="0" borderId="85" xfId="112" applyNumberFormat="1" applyFont="1" applyFill="1" applyBorder="1" applyAlignment="1" applyProtection="1">
      <alignment horizontal="center" vertical="center" wrapText="1"/>
      <protection/>
    </xf>
    <xf numFmtId="49" fontId="42" fillId="0" borderId="86" xfId="112" applyNumberFormat="1" applyFont="1" applyFill="1" applyBorder="1" applyAlignment="1" applyProtection="1">
      <alignment horizontal="center" vertical="center"/>
      <protection/>
    </xf>
    <xf numFmtId="49" fontId="42" fillId="0" borderId="87" xfId="112" applyNumberFormat="1" applyFont="1" applyFill="1" applyBorder="1" applyAlignment="1" applyProtection="1">
      <alignment horizontal="center" vertical="center"/>
      <protection/>
    </xf>
    <xf numFmtId="49" fontId="33" fillId="0" borderId="0" xfId="112" applyNumberFormat="1" applyFont="1" applyFill="1" applyAlignment="1" applyProtection="1">
      <alignment horizontal="center" vertical="center"/>
      <protection/>
    </xf>
    <xf numFmtId="0" fontId="44" fillId="0" borderId="88" xfId="112" applyFont="1" applyFill="1" applyBorder="1" applyAlignment="1" applyProtection="1">
      <alignment horizontal="left" vertical="center" wrapText="1"/>
      <protection/>
    </xf>
    <xf numFmtId="179" fontId="44" fillId="0" borderId="89" xfId="112" applyNumberFormat="1" applyFont="1" applyFill="1" applyBorder="1" applyAlignment="1" applyProtection="1">
      <alignment horizontal="center" vertical="center"/>
      <protection/>
    </xf>
    <xf numFmtId="181" fontId="44" fillId="0" borderId="99" xfId="112" applyNumberFormat="1" applyFont="1" applyFill="1" applyBorder="1" applyAlignment="1" applyProtection="1">
      <alignment vertical="center"/>
      <protection locked="0"/>
    </xf>
    <xf numFmtId="0" fontId="44" fillId="0" borderId="91" xfId="112" applyFont="1" applyFill="1" applyBorder="1" applyAlignment="1" applyProtection="1">
      <alignment horizontal="left" vertical="center" wrapText="1"/>
      <protection/>
    </xf>
    <xf numFmtId="179" fontId="44" fillId="0" borderId="92" xfId="112" applyNumberFormat="1" applyFont="1" applyFill="1" applyBorder="1" applyAlignment="1" applyProtection="1">
      <alignment horizontal="center" vertical="center"/>
      <protection/>
    </xf>
    <xf numFmtId="181" fontId="44" fillId="0" borderId="95" xfId="112" applyNumberFormat="1" applyFont="1" applyFill="1" applyBorder="1" applyAlignment="1" applyProtection="1">
      <alignment vertical="center"/>
      <protection locked="0"/>
    </xf>
    <xf numFmtId="0" fontId="42" fillId="0" borderId="91" xfId="112" applyFont="1" applyFill="1" applyBorder="1" applyAlignment="1" applyProtection="1">
      <alignment horizontal="left" vertical="center" wrapText="1"/>
      <protection/>
    </xf>
    <xf numFmtId="181" fontId="42" fillId="0" borderId="95" xfId="112" applyNumberFormat="1" applyFont="1" applyFill="1" applyBorder="1" applyAlignment="1" applyProtection="1">
      <alignment vertical="center"/>
      <protection/>
    </xf>
    <xf numFmtId="0" fontId="33" fillId="0" borderId="0" xfId="112" applyFont="1" applyFill="1" applyAlignment="1" applyProtection="1">
      <alignment vertical="center"/>
      <protection locked="0"/>
    </xf>
    <xf numFmtId="0" fontId="42" fillId="0" borderId="91" xfId="112" applyFont="1" applyFill="1" applyBorder="1" applyAlignment="1" applyProtection="1">
      <alignment vertical="center" wrapText="1"/>
      <protection/>
    </xf>
    <xf numFmtId="0" fontId="48" fillId="0" borderId="91" xfId="112" applyFont="1" applyFill="1" applyBorder="1" applyAlignment="1" applyProtection="1">
      <alignment horizontal="left" vertical="center" wrapText="1"/>
      <protection/>
    </xf>
    <xf numFmtId="181" fontId="48" fillId="0" borderId="95" xfId="112" applyNumberFormat="1" applyFont="1" applyFill="1" applyBorder="1" applyAlignment="1" applyProtection="1">
      <alignment vertical="center"/>
      <protection/>
    </xf>
    <xf numFmtId="0" fontId="33" fillId="0" borderId="0" xfId="112" applyFont="1" applyFill="1" applyAlignment="1" applyProtection="1">
      <alignment vertical="center"/>
      <protection locked="0"/>
    </xf>
    <xf numFmtId="0" fontId="44" fillId="0" borderId="91" xfId="112" applyFont="1" applyFill="1" applyBorder="1" applyAlignment="1" applyProtection="1">
      <alignment horizontal="left" vertical="center" wrapText="1" indent="2"/>
      <protection/>
    </xf>
    <xf numFmtId="0" fontId="44" fillId="0" borderId="91" xfId="112" applyFont="1" applyFill="1" applyBorder="1" applyAlignment="1" applyProtection="1">
      <alignment horizontal="left" vertical="center" indent="2"/>
      <protection locked="0"/>
    </xf>
    <xf numFmtId="181" fontId="70" fillId="0" borderId="95" xfId="112" applyNumberFormat="1" applyFont="1" applyFill="1" applyBorder="1" applyAlignment="1" applyProtection="1">
      <alignment vertical="center"/>
      <protection locked="0"/>
    </xf>
    <xf numFmtId="0" fontId="42" fillId="0" borderId="85" xfId="112" applyFont="1" applyFill="1" applyBorder="1" applyAlignment="1" applyProtection="1">
      <alignment horizontal="left" vertical="center" wrapText="1"/>
      <protection/>
    </xf>
    <xf numFmtId="179" fontId="44" fillId="0" borderId="86" xfId="112" applyNumberFormat="1" applyFont="1" applyFill="1" applyBorder="1" applyAlignment="1" applyProtection="1">
      <alignment horizontal="center" vertical="center"/>
      <protection/>
    </xf>
    <xf numFmtId="181" fontId="42" fillId="0" borderId="87" xfId="112" applyNumberFormat="1" applyFont="1" applyFill="1" applyBorder="1" applyAlignment="1" applyProtection="1">
      <alignment vertical="center"/>
      <protection/>
    </xf>
    <xf numFmtId="0" fontId="29" fillId="0" borderId="0" xfId="113" applyFont="1" applyFill="1" applyAlignment="1">
      <alignment/>
      <protection/>
    </xf>
    <xf numFmtId="0" fontId="61" fillId="0" borderId="0" xfId="112" applyFont="1" applyFill="1" applyAlignment="1" applyProtection="1">
      <alignment horizontal="center" vertical="center"/>
      <protection/>
    </xf>
    <xf numFmtId="0" fontId="71" fillId="0" borderId="100" xfId="113" applyFont="1" applyFill="1" applyBorder="1" applyAlignment="1">
      <alignment horizontal="center" vertical="center"/>
      <protection/>
    </xf>
    <xf numFmtId="0" fontId="65" fillId="0" borderId="101" xfId="112" applyFont="1" applyFill="1" applyBorder="1" applyAlignment="1" applyProtection="1">
      <alignment horizontal="center" vertical="center" textRotation="90"/>
      <protection/>
    </xf>
    <xf numFmtId="0" fontId="71" fillId="0" borderId="101" xfId="113" applyFont="1" applyFill="1" applyBorder="1" applyAlignment="1">
      <alignment horizontal="center" vertical="center" wrapText="1"/>
      <protection/>
    </xf>
    <xf numFmtId="0" fontId="71" fillId="0" borderId="102" xfId="113" applyFont="1" applyFill="1" applyBorder="1" applyAlignment="1">
      <alignment horizontal="center" vertical="center" wrapText="1"/>
      <protection/>
    </xf>
    <xf numFmtId="0" fontId="56" fillId="0" borderId="88" xfId="113" applyFont="1" applyFill="1" applyBorder="1" applyAlignment="1" applyProtection="1">
      <alignment horizontal="left" indent="1"/>
      <protection locked="0"/>
    </xf>
    <xf numFmtId="0" fontId="56" fillId="0" borderId="89" xfId="113" applyFont="1" applyFill="1" applyBorder="1" applyAlignment="1">
      <alignment horizontal="right" indent="1"/>
      <protection/>
    </xf>
    <xf numFmtId="3" fontId="56" fillId="0" borderId="89" xfId="113" applyNumberFormat="1" applyFont="1" applyFill="1" applyBorder="1" applyProtection="1">
      <alignment/>
      <protection locked="0"/>
    </xf>
    <xf numFmtId="3" fontId="56" fillId="0" borderId="99" xfId="113" applyNumberFormat="1" applyFont="1" applyFill="1" applyBorder="1" applyProtection="1">
      <alignment/>
      <protection locked="0"/>
    </xf>
    <xf numFmtId="0" fontId="56" fillId="0" borderId="91" xfId="113" applyFont="1" applyFill="1" applyBorder="1" applyAlignment="1" applyProtection="1">
      <alignment horizontal="left" indent="1"/>
      <protection locked="0"/>
    </xf>
    <xf numFmtId="0" fontId="56" fillId="0" borderId="92" xfId="113" applyFont="1" applyFill="1" applyBorder="1" applyAlignment="1">
      <alignment horizontal="right" indent="1"/>
      <protection/>
    </xf>
    <xf numFmtId="3" fontId="56" fillId="0" borderId="92" xfId="113" applyNumberFormat="1" applyFont="1" applyFill="1" applyBorder="1" applyProtection="1">
      <alignment/>
      <protection locked="0"/>
    </xf>
    <xf numFmtId="3" fontId="56" fillId="0" borderId="95" xfId="113" applyNumberFormat="1" applyFont="1" applyFill="1" applyBorder="1" applyProtection="1">
      <alignment/>
      <protection locked="0"/>
    </xf>
    <xf numFmtId="0" fontId="56" fillId="0" borderId="91" xfId="113" applyFont="1" applyFill="1" applyBorder="1" applyProtection="1">
      <alignment/>
      <protection locked="0"/>
    </xf>
    <xf numFmtId="0" fontId="56" fillId="0" borderId="103" xfId="113" applyFont="1" applyFill="1" applyBorder="1" applyProtection="1">
      <alignment/>
      <protection locked="0"/>
    </xf>
    <xf numFmtId="0" fontId="56" fillId="0" borderId="104" xfId="113" applyFont="1" applyFill="1" applyBorder="1" applyAlignment="1">
      <alignment horizontal="right" indent="1"/>
      <protection/>
    </xf>
    <xf numFmtId="3" fontId="56" fillId="0" borderId="104" xfId="113" applyNumberFormat="1" applyFont="1" applyFill="1" applyBorder="1" applyProtection="1">
      <alignment/>
      <protection locked="0"/>
    </xf>
    <xf numFmtId="3" fontId="56" fillId="0" borderId="105" xfId="113" applyNumberFormat="1" applyFont="1" applyFill="1" applyBorder="1" applyProtection="1">
      <alignment/>
      <protection locked="0"/>
    </xf>
    <xf numFmtId="3" fontId="56" fillId="0" borderId="106" xfId="113" applyNumberFormat="1" applyFont="1" applyFill="1" applyBorder="1">
      <alignment/>
      <protection/>
    </xf>
    <xf numFmtId="3" fontId="57" fillId="0" borderId="102" xfId="113" applyNumberFormat="1" applyFont="1" applyFill="1" applyBorder="1">
      <alignment/>
      <protection/>
    </xf>
    <xf numFmtId="0" fontId="72" fillId="0" borderId="0" xfId="113" applyFont="1" applyFill="1">
      <alignment/>
      <protection/>
    </xf>
    <xf numFmtId="165" fontId="54" fillId="0" borderId="71" xfId="109" applyNumberFormat="1" applyFont="1" applyBorder="1" applyAlignment="1">
      <alignment horizontal="center" vertical="center"/>
      <protection/>
    </xf>
    <xf numFmtId="165" fontId="54" fillId="0" borderId="107" xfId="109" applyNumberFormat="1" applyFont="1" applyBorder="1" applyAlignment="1">
      <alignment horizontal="center" vertical="center"/>
      <protection/>
    </xf>
    <xf numFmtId="165" fontId="54" fillId="0" borderId="108" xfId="109" applyNumberFormat="1" applyFont="1" applyBorder="1" applyAlignment="1">
      <alignment horizontal="center" vertical="center"/>
      <protection/>
    </xf>
    <xf numFmtId="0" fontId="31" fillId="0" borderId="0" xfId="111" applyFont="1" applyFill="1" applyBorder="1" applyAlignment="1">
      <alignment horizontal="center" vertical="center" wrapText="1"/>
      <protection/>
    </xf>
    <xf numFmtId="0" fontId="40" fillId="0" borderId="0" xfId="111" applyFont="1" applyFill="1" applyBorder="1" applyAlignment="1" applyProtection="1">
      <alignment horizontal="center" vertical="center"/>
      <protection locked="0"/>
    </xf>
    <xf numFmtId="0" fontId="40" fillId="0" borderId="0" xfId="111" applyFont="1" applyFill="1" applyBorder="1" applyAlignment="1">
      <alignment horizontal="center" vertical="center"/>
      <protection/>
    </xf>
    <xf numFmtId="0" fontId="40" fillId="0" borderId="10" xfId="111" applyFont="1" applyFill="1" applyBorder="1" applyAlignment="1">
      <alignment horizontal="center" vertical="center"/>
      <protection/>
    </xf>
    <xf numFmtId="0" fontId="40" fillId="0" borderId="14" xfId="111" applyFont="1" applyFill="1" applyBorder="1" applyAlignment="1">
      <alignment horizontal="center" vertical="center"/>
      <protection/>
    </xf>
    <xf numFmtId="0" fontId="46" fillId="0" borderId="17" xfId="111" applyFont="1" applyFill="1" applyBorder="1" applyAlignment="1">
      <alignment horizontal="center" vertical="center" wrapText="1"/>
      <protection/>
    </xf>
    <xf numFmtId="0" fontId="46" fillId="0" borderId="20" xfId="111" applyFont="1" applyFill="1" applyBorder="1" applyAlignment="1">
      <alignment horizontal="center" vertical="center" wrapText="1"/>
      <protection/>
    </xf>
    <xf numFmtId="0" fontId="46" fillId="0" borderId="17" xfId="111" applyFont="1" applyFill="1" applyBorder="1" applyAlignment="1">
      <alignment horizontal="center" vertical="center"/>
      <protection/>
    </xf>
    <xf numFmtId="0" fontId="46" fillId="0" borderId="20" xfId="111" applyFont="1" applyFill="1" applyBorder="1" applyAlignment="1">
      <alignment horizontal="center" vertical="center"/>
      <protection/>
    </xf>
    <xf numFmtId="0" fontId="40" fillId="0" borderId="0" xfId="111" applyFont="1" applyFill="1" applyBorder="1" applyAlignment="1">
      <alignment horizontal="center"/>
      <protection/>
    </xf>
    <xf numFmtId="0" fontId="33" fillId="0" borderId="0" xfId="111" applyFont="1" applyFill="1" applyBorder="1" applyAlignment="1">
      <alignment horizontal="right"/>
      <protection/>
    </xf>
    <xf numFmtId="0" fontId="33" fillId="0" borderId="109" xfId="111" applyFont="1" applyFill="1" applyBorder="1" applyAlignment="1">
      <alignment horizontal="right"/>
      <protection/>
    </xf>
    <xf numFmtId="165" fontId="29" fillId="0" borderId="45" xfId="109" applyNumberFormat="1" applyFont="1" applyBorder="1" applyAlignment="1">
      <alignment horizontal="center" vertical="center"/>
      <protection/>
    </xf>
    <xf numFmtId="165" fontId="53" fillId="0" borderId="57" xfId="109" applyNumberFormat="1" applyFont="1" applyBorder="1" applyAlignment="1">
      <alignment horizontal="center" vertical="center"/>
      <protection/>
    </xf>
    <xf numFmtId="165" fontId="53" fillId="0" borderId="0" xfId="109" applyNumberFormat="1" applyFont="1" applyBorder="1" applyAlignment="1">
      <alignment horizontal="center" vertical="center"/>
      <protection/>
    </xf>
    <xf numFmtId="165" fontId="54" fillId="0" borderId="75" xfId="109" applyNumberFormat="1" applyFont="1" applyBorder="1" applyAlignment="1">
      <alignment horizontal="center" vertical="center"/>
      <protection/>
    </xf>
    <xf numFmtId="165" fontId="31" fillId="0" borderId="0" xfId="109" applyNumberFormat="1" applyFont="1" applyBorder="1" applyAlignment="1">
      <alignment horizontal="right" vertical="center"/>
      <protection/>
    </xf>
    <xf numFmtId="165" fontId="54" fillId="0" borderId="10" xfId="109" applyNumberFormat="1" applyFont="1" applyBorder="1" applyAlignment="1">
      <alignment horizontal="center" vertical="center" wrapText="1"/>
      <protection/>
    </xf>
    <xf numFmtId="165" fontId="54" fillId="0" borderId="44" xfId="109" applyNumberFormat="1" applyFont="1" applyBorder="1" applyAlignment="1">
      <alignment horizontal="center" vertical="center"/>
      <protection/>
    </xf>
    <xf numFmtId="165" fontId="54" fillId="0" borderId="110" xfId="109" applyNumberFormat="1" applyFont="1" applyBorder="1" applyAlignment="1">
      <alignment horizontal="center" vertical="center"/>
      <protection/>
    </xf>
    <xf numFmtId="165" fontId="54" fillId="0" borderId="111" xfId="109" applyNumberFormat="1" applyFont="1" applyBorder="1" applyAlignment="1">
      <alignment horizontal="center" vertical="center"/>
      <protection/>
    </xf>
    <xf numFmtId="165" fontId="54" fillId="0" borderId="112" xfId="109" applyNumberFormat="1" applyFont="1" applyBorder="1" applyAlignment="1">
      <alignment horizontal="center" vertical="center"/>
      <protection/>
    </xf>
    <xf numFmtId="165" fontId="54" fillId="0" borderId="63" xfId="109" applyNumberFormat="1" applyFont="1" applyBorder="1" applyAlignment="1">
      <alignment horizontal="center" vertical="center"/>
      <protection/>
    </xf>
    <xf numFmtId="165" fontId="54" fillId="0" borderId="113" xfId="109" applyNumberFormat="1" applyFont="1" applyBorder="1" applyAlignment="1">
      <alignment horizontal="center" vertical="center"/>
      <protection/>
    </xf>
    <xf numFmtId="0" fontId="53" fillId="0" borderId="0" xfId="109" applyFont="1" applyBorder="1" applyAlignment="1">
      <alignment horizontal="center" vertical="center"/>
      <protection/>
    </xf>
    <xf numFmtId="0" fontId="53" fillId="0" borderId="57" xfId="109" applyFont="1" applyBorder="1" applyAlignment="1">
      <alignment horizontal="center" vertical="center" wrapText="1"/>
      <protection/>
    </xf>
    <xf numFmtId="0" fontId="53" fillId="0" borderId="43" xfId="109" applyFont="1" applyBorder="1" applyAlignment="1">
      <alignment horizontal="center" vertical="center"/>
      <protection/>
    </xf>
    <xf numFmtId="3" fontId="53" fillId="0" borderId="43" xfId="109" applyNumberFormat="1" applyFont="1" applyBorder="1" applyAlignment="1">
      <alignment horizontal="center" vertical="center"/>
      <protection/>
    </xf>
    <xf numFmtId="3" fontId="53" fillId="0" borderId="59" xfId="109" applyNumberFormat="1" applyFont="1" applyBorder="1" applyAlignment="1">
      <alignment horizontal="center" vertical="center"/>
      <protection/>
    </xf>
    <xf numFmtId="165" fontId="53" fillId="0" borderId="59" xfId="106" applyNumberFormat="1" applyFont="1" applyBorder="1" applyAlignment="1">
      <alignment horizontal="center" vertical="center" wrapText="1"/>
      <protection/>
    </xf>
    <xf numFmtId="165" fontId="53" fillId="0" borderId="74" xfId="106" applyNumberFormat="1" applyFont="1" applyBorder="1" applyAlignment="1">
      <alignment horizontal="center" vertical="center"/>
      <protection/>
    </xf>
    <xf numFmtId="165" fontId="31" fillId="0" borderId="43" xfId="106" applyNumberFormat="1" applyFont="1" applyBorder="1" applyAlignment="1">
      <alignment horizontal="left" vertical="center"/>
      <protection/>
    </xf>
    <xf numFmtId="165" fontId="31" fillId="0" borderId="43" xfId="106" applyNumberFormat="1" applyFont="1" applyBorder="1" applyAlignment="1">
      <alignment horizontal="left" vertical="center" wrapText="1"/>
      <protection/>
    </xf>
    <xf numFmtId="165" fontId="53" fillId="0" borderId="47" xfId="106" applyNumberFormat="1" applyFont="1" applyBorder="1" applyAlignment="1">
      <alignment horizontal="center" vertical="center"/>
      <protection/>
    </xf>
    <xf numFmtId="165" fontId="53" fillId="0" borderId="43" xfId="106" applyNumberFormat="1" applyFont="1" applyBorder="1" applyAlignment="1">
      <alignment horizontal="center" vertical="center" wrapText="1"/>
      <protection/>
    </xf>
    <xf numFmtId="165" fontId="53" fillId="0" borderId="57" xfId="106" applyNumberFormat="1" applyFont="1" applyBorder="1" applyAlignment="1">
      <alignment horizontal="left" vertical="center" wrapText="1"/>
      <protection/>
    </xf>
    <xf numFmtId="165" fontId="31" fillId="25" borderId="43" xfId="106" applyNumberFormat="1" applyFont="1" applyFill="1" applyBorder="1" applyAlignment="1">
      <alignment horizontal="left" vertical="center" wrapText="1"/>
      <protection/>
    </xf>
    <xf numFmtId="165" fontId="31" fillId="0" borderId="80" xfId="106" applyNumberFormat="1" applyFont="1" applyBorder="1" applyAlignment="1">
      <alignment horizontal="left" vertical="center" wrapText="1"/>
      <protection/>
    </xf>
    <xf numFmtId="165" fontId="53" fillId="0" borderId="0" xfId="106" applyNumberFormat="1" applyFont="1" applyBorder="1" applyAlignment="1">
      <alignment horizontal="center" vertical="center"/>
      <protection/>
    </xf>
    <xf numFmtId="0" fontId="54" fillId="0" borderId="23" xfId="111" applyFont="1" applyFill="1" applyBorder="1" applyAlignment="1">
      <alignment horizontal="center" vertical="center" wrapText="1"/>
      <protection/>
    </xf>
    <xf numFmtId="0" fontId="54" fillId="0" borderId="20" xfId="111" applyFont="1" applyFill="1" applyBorder="1" applyAlignment="1">
      <alignment horizontal="center" vertical="center"/>
      <protection/>
    </xf>
    <xf numFmtId="0" fontId="54" fillId="0" borderId="24" xfId="111" applyFont="1" applyFill="1" applyBorder="1" applyAlignment="1">
      <alignment horizontal="center" vertical="center"/>
      <protection/>
    </xf>
    <xf numFmtId="0" fontId="54" fillId="0" borderId="17" xfId="111" applyFont="1" applyFill="1" applyBorder="1" applyAlignment="1">
      <alignment horizontal="center" vertical="center"/>
      <protection/>
    </xf>
    <xf numFmtId="0" fontId="53" fillId="0" borderId="0" xfId="111" applyFont="1" applyFill="1" applyBorder="1" applyAlignment="1" applyProtection="1">
      <alignment horizontal="center" vertical="center"/>
      <protection locked="0"/>
    </xf>
    <xf numFmtId="0" fontId="53" fillId="0" borderId="0" xfId="111" applyFont="1" applyFill="1" applyBorder="1" applyAlignment="1">
      <alignment horizontal="center"/>
      <protection/>
    </xf>
    <xf numFmtId="0" fontId="31" fillId="0" borderId="114" xfId="111" applyFont="1" applyFill="1" applyBorder="1" applyAlignment="1">
      <alignment horizontal="right"/>
      <protection/>
    </xf>
    <xf numFmtId="0" fontId="29" fillId="0" borderId="0" xfId="113" applyFont="1" applyFill="1" applyAlignment="1">
      <alignment horizontal="left"/>
      <protection/>
    </xf>
    <xf numFmtId="0" fontId="64" fillId="0" borderId="0" xfId="113" applyFont="1" applyFill="1" applyBorder="1" applyAlignment="1">
      <alignment horizontal="right"/>
      <protection/>
    </xf>
    <xf numFmtId="0" fontId="59" fillId="0" borderId="115" xfId="113" applyFont="1" applyFill="1" applyBorder="1" applyAlignment="1">
      <alignment horizontal="center" vertical="center" wrapText="1"/>
      <protection/>
    </xf>
    <xf numFmtId="0" fontId="59" fillId="0" borderId="116" xfId="113" applyFont="1" applyFill="1" applyBorder="1" applyAlignment="1">
      <alignment horizontal="center" vertical="center" wrapText="1"/>
      <protection/>
    </xf>
    <xf numFmtId="0" fontId="59" fillId="0" borderId="88" xfId="113" applyFont="1" applyFill="1" applyBorder="1" applyAlignment="1">
      <alignment horizontal="center" vertical="center" wrapText="1"/>
      <protection/>
    </xf>
    <xf numFmtId="0" fontId="65" fillId="0" borderId="117" xfId="112" applyFont="1" applyFill="1" applyBorder="1" applyAlignment="1" applyProtection="1">
      <alignment horizontal="center" vertical="center" textRotation="90"/>
      <protection/>
    </xf>
    <xf numFmtId="0" fontId="65" fillId="0" borderId="118" xfId="112" applyFont="1" applyFill="1" applyBorder="1" applyAlignment="1" applyProtection="1">
      <alignment horizontal="center" vertical="center" textRotation="90"/>
      <protection/>
    </xf>
    <xf numFmtId="0" fontId="65" fillId="0" borderId="89" xfId="112" applyFont="1" applyFill="1" applyBorder="1" applyAlignment="1" applyProtection="1">
      <alignment horizontal="center" vertical="center" textRotation="90"/>
      <protection/>
    </xf>
    <xf numFmtId="0" fontId="64" fillId="0" borderId="119" xfId="113" applyFont="1" applyFill="1" applyBorder="1" applyAlignment="1">
      <alignment horizontal="center" vertical="center" wrapText="1"/>
      <protection/>
    </xf>
    <xf numFmtId="0" fontId="64" fillId="0" borderId="92" xfId="113" applyFont="1" applyFill="1" applyBorder="1" applyAlignment="1">
      <alignment horizontal="center" vertical="center" wrapText="1"/>
      <protection/>
    </xf>
    <xf numFmtId="0" fontId="64" fillId="0" borderId="92" xfId="113" applyFont="1" applyFill="1" applyBorder="1" applyAlignment="1">
      <alignment horizontal="center" wrapText="1"/>
      <protection/>
    </xf>
    <xf numFmtId="0" fontId="64" fillId="0" borderId="95" xfId="113" applyFont="1" applyFill="1" applyBorder="1" applyAlignment="1">
      <alignment horizontal="center" wrapText="1"/>
      <protection/>
    </xf>
    <xf numFmtId="0" fontId="64" fillId="0" borderId="120" xfId="113" applyFont="1" applyFill="1" applyBorder="1" applyAlignment="1">
      <alignment horizontal="center" vertical="center" wrapText="1"/>
      <protection/>
    </xf>
    <xf numFmtId="0" fontId="64" fillId="0" borderId="99" xfId="113" applyFont="1" applyFill="1" applyBorder="1" applyAlignment="1">
      <alignment horizontal="center" vertical="center" wrapText="1"/>
      <protection/>
    </xf>
    <xf numFmtId="0" fontId="65" fillId="0" borderId="0" xfId="112" applyFont="1" applyFill="1" applyBorder="1" applyAlignment="1" applyProtection="1">
      <alignment horizontal="right" vertical="center"/>
      <protection/>
    </xf>
    <xf numFmtId="0" fontId="29" fillId="0" borderId="0" xfId="113" applyFont="1" applyFill="1" applyAlignment="1">
      <alignment horizontal="center"/>
      <protection/>
    </xf>
    <xf numFmtId="0" fontId="65" fillId="0" borderId="119" xfId="112" applyFont="1" applyFill="1" applyBorder="1" applyAlignment="1" applyProtection="1">
      <alignment horizontal="center" vertical="center" textRotation="90"/>
      <protection/>
    </xf>
    <xf numFmtId="0" fontId="65" fillId="0" borderId="92" xfId="112" applyFont="1" applyFill="1" applyBorder="1" applyAlignment="1" applyProtection="1">
      <alignment horizontal="center" vertical="center" textRotation="90"/>
      <protection/>
    </xf>
    <xf numFmtId="0" fontId="40" fillId="0" borderId="121" xfId="112" applyFont="1" applyFill="1" applyBorder="1" applyAlignment="1" applyProtection="1">
      <alignment horizontal="center" vertical="center" wrapText="1"/>
      <protection/>
    </xf>
    <xf numFmtId="0" fontId="40" fillId="0" borderId="91" xfId="112" applyFont="1" applyFill="1" applyBorder="1" applyAlignment="1" applyProtection="1">
      <alignment horizontal="center" vertical="center" wrapText="1"/>
      <protection/>
    </xf>
    <xf numFmtId="0" fontId="69" fillId="0" borderId="122" xfId="112" applyFont="1" applyFill="1" applyBorder="1" applyAlignment="1" applyProtection="1">
      <alignment horizontal="center" vertical="center" wrapText="1"/>
      <protection/>
    </xf>
    <xf numFmtId="0" fontId="69" fillId="0" borderId="95" xfId="112" applyFont="1" applyFill="1" applyBorder="1" applyAlignment="1" applyProtection="1">
      <alignment horizontal="center" vertical="center"/>
      <protection/>
    </xf>
    <xf numFmtId="3" fontId="29" fillId="0" borderId="0" xfId="113" applyNumberFormat="1" applyFont="1" applyFill="1" applyAlignment="1">
      <alignment horizontal="center"/>
      <protection/>
    </xf>
    <xf numFmtId="0" fontId="71" fillId="0" borderId="123" xfId="113" applyFont="1" applyFill="1" applyBorder="1" applyAlignment="1">
      <alignment horizontal="left"/>
      <protection/>
    </xf>
    <xf numFmtId="0" fontId="71" fillId="0" borderId="124" xfId="113" applyFont="1" applyFill="1" applyBorder="1" applyAlignment="1">
      <alignment horizontal="left"/>
      <protection/>
    </xf>
    <xf numFmtId="178" fontId="44" fillId="0" borderId="30" xfId="111" applyNumberFormat="1" applyFont="1" applyFill="1" applyBorder="1" applyAlignment="1" applyProtection="1">
      <alignment horizontal="right" vertical="center"/>
      <protection locked="0"/>
    </xf>
  </cellXfs>
  <cellStyles count="11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3 2" xfId="72"/>
    <cellStyle name="Ezres 3 3" xfId="73"/>
    <cellStyle name="Ezres 3_2009. évi beszámoló mellékletei 04.14" xfId="74"/>
    <cellStyle name="Ezres_2009. évi beszámoló mellékletei 04.14" xfId="75"/>
    <cellStyle name="Ezres_Vagyonkimutatás  2009" xfId="76"/>
    <cellStyle name="Figyelmeztetés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ó" xfId="93"/>
    <cellStyle name="Kimenet" xfId="94"/>
    <cellStyle name="Linked Cell" xfId="95"/>
    <cellStyle name="Magyarázó szöveg" xfId="96"/>
    <cellStyle name="Followed Hyperlink" xfId="97"/>
    <cellStyle name="Neutral" xfId="98"/>
    <cellStyle name="Normál 2" xfId="99"/>
    <cellStyle name="Normál 2 2" xfId="100"/>
    <cellStyle name="Normál 2 2 2" xfId="101"/>
    <cellStyle name="Normál 2 2_2009. évi beszámoló mellékletei 04.14" xfId="102"/>
    <cellStyle name="Normál 2 3" xfId="103"/>
    <cellStyle name="Normál 2_2009 évi koncepcióhoz mellékletek függelék " xfId="104"/>
    <cellStyle name="Normál 3" xfId="105"/>
    <cellStyle name="Normál_2002.évi beszámoló hagyományos1" xfId="106"/>
    <cellStyle name="Normál_Egyszerúsített besz. 2006." xfId="107"/>
    <cellStyle name="Normál_Egyszerűsített beszámoló" xfId="108"/>
    <cellStyle name="Normál_Egyszerűsített beszámoló2004.kisebbség" xfId="109"/>
    <cellStyle name="Normál_Egyszerűsített beszámolóTISZK" xfId="110"/>
    <cellStyle name="Normál_minta" xfId="111"/>
    <cellStyle name="Normál_VAGYONK" xfId="112"/>
    <cellStyle name="Normál_VAGYONKIM" xfId="113"/>
    <cellStyle name="Normál_Vagyonkimutatás  2009" xfId="114"/>
    <cellStyle name="Note" xfId="115"/>
    <cellStyle name="Output" xfId="116"/>
    <cellStyle name="Összesen" xfId="117"/>
    <cellStyle name="Currency" xfId="118"/>
    <cellStyle name="Currency [0]" xfId="119"/>
    <cellStyle name="Pénznem_Vagyonkimutatás  2009" xfId="120"/>
    <cellStyle name="Rossz" xfId="121"/>
    <cellStyle name="Semleges" xfId="122"/>
    <cellStyle name="Stílus 1" xfId="123"/>
    <cellStyle name="Számítás" xfId="124"/>
    <cellStyle name="Percent" xfId="125"/>
    <cellStyle name="Title" xfId="126"/>
    <cellStyle name="Total" xfId="127"/>
    <cellStyle name="Warning Text" xfId="1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Excel\Menyus\P&#233;nz&#252;gyielemz&#233;s\P&#252;modell\M_V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azdas&#225;gi%20Igazgat&#243;s&#225;g\PenzugyVIP\Besz&#225;mol&#243;\2009\&#201;ves\Besz&#225;mol&#243;%20t&#225;bl&#225;k\F&#252;ggel&#233;kek%20I-I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kumentumok\Excel\Menyus\P&#233;nz&#252;gyielemz&#233;s\P&#252;modell\M_V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azdas&#225;gi%20Igazgat&#243;s&#225;g\PenzugyVIP\Besz&#225;mol&#243;\2009\&#201;ves\Besz&#225;mol&#243;%20t&#225;bl&#225;k\Dokumentumok\Excel\Menyus\P&#233;nz&#252;gyielemz&#233;s\P&#252;modell\M_V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nzugyVIP\T&#243;thHE2002\Excel\Menyus\P&#233;nz&#252;gyielemz&#233;s\P&#252;modell\M_V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Gazdas&#225;gi%20Igazgat&#243;s&#225;g\PenzugyVIP\Besz&#225;mol&#243;\2009\&#201;ves\Besz&#225;mol&#243;%20t&#225;bl&#225;k\Documents%20and%20Settings\kadarr.KADARRPC\Local%20Settings\Temporary%20Internet%20Files\Content.IE5\WJBJMWTX\M&#369;szaki%20Igazgat&#243;s&#225;g%20adatlapja%202010.%20&#233;vre%20pr&#243;b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üggelék I"/>
      <sheetName val="Függelék II."/>
      <sheetName val="Függelék III"/>
      <sheetName val="Függelék IV."/>
      <sheetName val="Tünd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47"/>
  <sheetViews>
    <sheetView workbookViewId="0" topLeftCell="A1">
      <selection activeCell="C11" sqref="C11"/>
    </sheetView>
  </sheetViews>
  <sheetFormatPr defaultColWidth="9.140625" defaultRowHeight="12.75"/>
  <cols>
    <col min="1" max="1" width="5.7109375" style="1" customWidth="1"/>
    <col min="2" max="2" width="43.8515625" style="2" customWidth="1"/>
    <col min="3" max="3" width="13.7109375" style="3" customWidth="1"/>
    <col min="4" max="4" width="12.00390625" style="3" customWidth="1"/>
    <col min="5" max="6" width="13.7109375" style="3" customWidth="1"/>
    <col min="7" max="7" width="12.57421875" style="3" customWidth="1"/>
    <col min="8" max="8" width="13.7109375" style="3" customWidth="1"/>
    <col min="9" max="16384" width="8.00390625" style="3" customWidth="1"/>
  </cols>
  <sheetData>
    <row r="1" ht="12.75">
      <c r="H1" s="4" t="s">
        <v>0</v>
      </c>
    </row>
    <row r="2" spans="1:8" s="5" customFormat="1" ht="24.75" customHeight="1">
      <c r="A2" s="485" t="s">
        <v>1</v>
      </c>
      <c r="B2" s="485"/>
      <c r="C2" s="485"/>
      <c r="D2" s="485"/>
      <c r="E2" s="485"/>
      <c r="F2" s="485"/>
      <c r="G2" s="485"/>
      <c r="H2" s="485"/>
    </row>
    <row r="3" spans="1:8" s="5" customFormat="1" ht="22.5" customHeight="1">
      <c r="A3" s="486" t="s">
        <v>2</v>
      </c>
      <c r="B3" s="486"/>
      <c r="C3" s="486"/>
      <c r="D3" s="486"/>
      <c r="E3" s="486"/>
      <c r="F3" s="486"/>
      <c r="G3" s="486"/>
      <c r="H3" s="486"/>
    </row>
    <row r="4" spans="1:8" s="5" customFormat="1" ht="32.25" customHeight="1">
      <c r="A4" s="6"/>
      <c r="B4" s="7"/>
      <c r="C4" s="6"/>
      <c r="D4" s="6"/>
      <c r="E4" s="7"/>
      <c r="F4" s="7"/>
      <c r="G4" s="7"/>
      <c r="H4" s="1" t="s">
        <v>3</v>
      </c>
    </row>
    <row r="5" spans="1:8" ht="52.5" customHeight="1">
      <c r="A5" s="487" t="s">
        <v>4</v>
      </c>
      <c r="B5" s="487"/>
      <c r="C5" s="8" t="s">
        <v>5</v>
      </c>
      <c r="D5" s="8" t="s">
        <v>6</v>
      </c>
      <c r="E5" s="9" t="s">
        <v>7</v>
      </c>
      <c r="F5" s="8" t="s">
        <v>8</v>
      </c>
      <c r="G5" s="8" t="s">
        <v>6</v>
      </c>
      <c r="H5" s="9" t="s">
        <v>9</v>
      </c>
    </row>
    <row r="6" spans="1:8" s="14" customFormat="1" ht="15.75" customHeight="1">
      <c r="A6" s="10" t="s">
        <v>10</v>
      </c>
      <c r="B6" s="11" t="s">
        <v>11</v>
      </c>
      <c r="C6" s="12">
        <f aca="true" t="shared" si="0" ref="C6:H6">SUM(C7:C10)</f>
        <v>72078570</v>
      </c>
      <c r="D6" s="13">
        <f t="shared" si="0"/>
        <v>344309</v>
      </c>
      <c r="E6" s="13">
        <f t="shared" si="0"/>
        <v>72422879</v>
      </c>
      <c r="F6" s="12">
        <f t="shared" si="0"/>
        <v>72392290</v>
      </c>
      <c r="G6" s="13">
        <f t="shared" si="0"/>
        <v>68818</v>
      </c>
      <c r="H6" s="13">
        <f t="shared" si="0"/>
        <v>72461108</v>
      </c>
    </row>
    <row r="7" spans="1:8" ht="12.75">
      <c r="A7" s="15" t="s">
        <v>12</v>
      </c>
      <c r="B7" s="16" t="s">
        <v>13</v>
      </c>
      <c r="C7" s="17">
        <v>444701</v>
      </c>
      <c r="D7" s="17"/>
      <c r="E7" s="18">
        <f>D7+C7</f>
        <v>444701</v>
      </c>
      <c r="F7" s="17">
        <v>351613</v>
      </c>
      <c r="G7" s="17"/>
      <c r="H7" s="18">
        <f>G7+F7</f>
        <v>351613</v>
      </c>
    </row>
    <row r="8" spans="1:8" ht="12.75">
      <c r="A8" s="19" t="s">
        <v>14</v>
      </c>
      <c r="B8" s="20" t="s">
        <v>15</v>
      </c>
      <c r="C8" s="21">
        <v>52691826</v>
      </c>
      <c r="D8" s="21">
        <v>-30991</v>
      </c>
      <c r="E8" s="22">
        <f>D8+C8</f>
        <v>52660835</v>
      </c>
      <c r="F8" s="21">
        <v>52747535</v>
      </c>
      <c r="G8" s="21">
        <v>68818</v>
      </c>
      <c r="H8" s="22">
        <f>G8+F8</f>
        <v>52816353</v>
      </c>
    </row>
    <row r="9" spans="1:8" ht="12.75">
      <c r="A9" s="19" t="s">
        <v>16</v>
      </c>
      <c r="B9" s="20" t="s">
        <v>17</v>
      </c>
      <c r="C9" s="23">
        <v>1534084</v>
      </c>
      <c r="D9" s="23">
        <v>375300</v>
      </c>
      <c r="E9" s="22">
        <f>D9+C9</f>
        <v>1909384</v>
      </c>
      <c r="F9" s="23">
        <v>1455315</v>
      </c>
      <c r="G9" s="23"/>
      <c r="H9" s="22">
        <f>G9+F9</f>
        <v>1455315</v>
      </c>
    </row>
    <row r="10" spans="1:8" ht="12.75">
      <c r="A10" s="24" t="s">
        <v>18</v>
      </c>
      <c r="B10" s="25" t="s">
        <v>19</v>
      </c>
      <c r="C10" s="26">
        <v>17407959</v>
      </c>
      <c r="D10" s="26"/>
      <c r="E10" s="27">
        <f>D10+C10</f>
        <v>17407959</v>
      </c>
      <c r="F10" s="26">
        <v>17837827</v>
      </c>
      <c r="G10" s="26"/>
      <c r="H10" s="27">
        <f>G10+F10</f>
        <v>17837827</v>
      </c>
    </row>
    <row r="11" spans="1:8" s="14" customFormat="1" ht="15.75" customHeight="1">
      <c r="A11" s="10" t="s">
        <v>20</v>
      </c>
      <c r="B11" s="11" t="s">
        <v>21</v>
      </c>
      <c r="C11" s="13">
        <f aca="true" t="shared" si="1" ref="C11:H11">SUM(C12:C16)</f>
        <v>7290830</v>
      </c>
      <c r="D11" s="13">
        <f t="shared" si="1"/>
        <v>-375300</v>
      </c>
      <c r="E11" s="13">
        <f t="shared" si="1"/>
        <v>6915530</v>
      </c>
      <c r="F11" s="13">
        <f t="shared" si="1"/>
        <v>5447975</v>
      </c>
      <c r="G11" s="13">
        <f t="shared" si="1"/>
        <v>-70094</v>
      </c>
      <c r="H11" s="13">
        <f t="shared" si="1"/>
        <v>5377881</v>
      </c>
    </row>
    <row r="12" spans="1:8" ht="12.75">
      <c r="A12" s="15" t="s">
        <v>22</v>
      </c>
      <c r="B12" s="16" t="s">
        <v>23</v>
      </c>
      <c r="C12" s="28">
        <v>40360</v>
      </c>
      <c r="D12" s="29"/>
      <c r="E12" s="18">
        <f>D12+C12</f>
        <v>40360</v>
      </c>
      <c r="F12" s="28">
        <v>192041</v>
      </c>
      <c r="G12" s="29"/>
      <c r="H12" s="18">
        <f>G12+F12</f>
        <v>192041</v>
      </c>
    </row>
    <row r="13" spans="1:8" ht="12.75">
      <c r="A13" s="19" t="s">
        <v>24</v>
      </c>
      <c r="B13" s="20" t="s">
        <v>25</v>
      </c>
      <c r="C13" s="23">
        <v>894174</v>
      </c>
      <c r="D13" s="30">
        <v>-375300</v>
      </c>
      <c r="E13" s="22">
        <f>D13+C13</f>
        <v>518874</v>
      </c>
      <c r="F13" s="23">
        <v>1302325</v>
      </c>
      <c r="G13" s="30"/>
      <c r="H13" s="22">
        <f>G13+F13</f>
        <v>1302325</v>
      </c>
    </row>
    <row r="14" spans="1:8" ht="12.75">
      <c r="A14" s="19" t="s">
        <v>26</v>
      </c>
      <c r="B14" s="20" t="s">
        <v>27</v>
      </c>
      <c r="C14" s="23">
        <v>3883019</v>
      </c>
      <c r="D14" s="30"/>
      <c r="E14" s="22">
        <f>D14+C14</f>
        <v>3883019</v>
      </c>
      <c r="F14" s="23">
        <v>294011</v>
      </c>
      <c r="G14" s="30"/>
      <c r="H14" s="22">
        <f>G14+F14</f>
        <v>294011</v>
      </c>
    </row>
    <row r="15" spans="1:8" ht="12.75">
      <c r="A15" s="31" t="s">
        <v>28</v>
      </c>
      <c r="B15" s="20" t="s">
        <v>29</v>
      </c>
      <c r="C15" s="23">
        <v>1885568</v>
      </c>
      <c r="D15" s="30"/>
      <c r="E15" s="22">
        <f>D15+C15</f>
        <v>1885568</v>
      </c>
      <c r="F15" s="23">
        <v>2663979</v>
      </c>
      <c r="G15" s="30"/>
      <c r="H15" s="22">
        <f>G15+F15</f>
        <v>2663979</v>
      </c>
    </row>
    <row r="16" spans="1:8" ht="12.75">
      <c r="A16" s="24" t="s">
        <v>30</v>
      </c>
      <c r="B16" s="25" t="s">
        <v>31</v>
      </c>
      <c r="C16" s="26">
        <v>587709</v>
      </c>
      <c r="D16" s="32"/>
      <c r="E16" s="27">
        <f>D16+C16</f>
        <v>587709</v>
      </c>
      <c r="F16" s="26">
        <v>995619</v>
      </c>
      <c r="G16" s="32">
        <v>-70094</v>
      </c>
      <c r="H16" s="27">
        <f>G16+F16</f>
        <v>925525</v>
      </c>
    </row>
    <row r="17" spans="1:8" s="34" customFormat="1" ht="27" customHeight="1">
      <c r="A17" s="10" t="s">
        <v>32</v>
      </c>
      <c r="B17" s="33" t="s">
        <v>33</v>
      </c>
      <c r="C17" s="13">
        <f aca="true" t="shared" si="2" ref="C17:H17">C6+C11</f>
        <v>79369400</v>
      </c>
      <c r="D17" s="13">
        <f t="shared" si="2"/>
        <v>-30991</v>
      </c>
      <c r="E17" s="13">
        <f t="shared" si="2"/>
        <v>79338409</v>
      </c>
      <c r="F17" s="13">
        <f t="shared" si="2"/>
        <v>77840265</v>
      </c>
      <c r="G17" s="13">
        <f t="shared" si="2"/>
        <v>-1276</v>
      </c>
      <c r="H17" s="13">
        <f t="shared" si="2"/>
        <v>77838989</v>
      </c>
    </row>
    <row r="18" spans="1:8" ht="50.25" customHeight="1">
      <c r="A18" s="488" t="s">
        <v>34</v>
      </c>
      <c r="B18" s="488"/>
      <c r="C18" s="35" t="s">
        <v>8</v>
      </c>
      <c r="D18" s="35" t="s">
        <v>6</v>
      </c>
      <c r="E18" s="36" t="s">
        <v>9</v>
      </c>
      <c r="F18" s="35" t="s">
        <v>8</v>
      </c>
      <c r="G18" s="35" t="s">
        <v>6</v>
      </c>
      <c r="H18" s="36" t="s">
        <v>9</v>
      </c>
    </row>
    <row r="19" spans="1:8" s="14" customFormat="1" ht="15.75" customHeight="1">
      <c r="A19" s="11" t="s">
        <v>35</v>
      </c>
      <c r="B19" s="11" t="s">
        <v>36</v>
      </c>
      <c r="C19" s="13">
        <f aca="true" t="shared" si="3" ref="C19:H19">C20+C21+C22</f>
        <v>59127869</v>
      </c>
      <c r="D19" s="13">
        <f t="shared" si="3"/>
        <v>-30991</v>
      </c>
      <c r="E19" s="13">
        <f t="shared" si="3"/>
        <v>59096878</v>
      </c>
      <c r="F19" s="13">
        <f t="shared" si="3"/>
        <v>57015093</v>
      </c>
      <c r="G19" s="13">
        <f t="shared" si="3"/>
        <v>73978</v>
      </c>
      <c r="H19" s="13">
        <f t="shared" si="3"/>
        <v>57089071</v>
      </c>
    </row>
    <row r="20" spans="1:8" ht="12.75">
      <c r="A20" s="37" t="s">
        <v>37</v>
      </c>
      <c r="B20" s="16" t="s">
        <v>38</v>
      </c>
      <c r="C20" s="29">
        <v>3310835</v>
      </c>
      <c r="D20" s="29"/>
      <c r="E20" s="18">
        <f>D20+C20</f>
        <v>3310835</v>
      </c>
      <c r="F20" s="29">
        <v>3310835</v>
      </c>
      <c r="G20" s="29"/>
      <c r="H20" s="18">
        <f>G20+F20</f>
        <v>3310835</v>
      </c>
    </row>
    <row r="21" spans="1:8" ht="12.75">
      <c r="A21" s="38" t="s">
        <v>39</v>
      </c>
      <c r="B21" s="20" t="s">
        <v>40</v>
      </c>
      <c r="C21" s="30">
        <v>55817034</v>
      </c>
      <c r="D21" s="30">
        <v>-30991</v>
      </c>
      <c r="E21" s="22">
        <f>D21+C21</f>
        <v>55786043</v>
      </c>
      <c r="F21" s="30">
        <v>53704258</v>
      </c>
      <c r="G21" s="30">
        <v>73978</v>
      </c>
      <c r="H21" s="22">
        <f>G21+F21</f>
        <v>53778236</v>
      </c>
    </row>
    <row r="22" spans="1:8" ht="12.75">
      <c r="A22" s="39" t="s">
        <v>41</v>
      </c>
      <c r="B22" s="25" t="s">
        <v>42</v>
      </c>
      <c r="C22" s="32"/>
      <c r="D22" s="32"/>
      <c r="E22" s="27">
        <f>D22+C22</f>
        <v>0</v>
      </c>
      <c r="F22" s="32"/>
      <c r="G22" s="32"/>
      <c r="H22" s="27">
        <f>G22+F22</f>
        <v>0</v>
      </c>
    </row>
    <row r="23" spans="1:8" s="14" customFormat="1" ht="15.75" customHeight="1">
      <c r="A23" s="11" t="s">
        <v>43</v>
      </c>
      <c r="B23" s="11" t="s">
        <v>44</v>
      </c>
      <c r="C23" s="13">
        <f aca="true" t="shared" si="4" ref="C23:H23">C24+C25</f>
        <v>1777580</v>
      </c>
      <c r="D23" s="13">
        <f t="shared" si="4"/>
        <v>0</v>
      </c>
      <c r="E23" s="13">
        <f t="shared" si="4"/>
        <v>1777580</v>
      </c>
      <c r="F23" s="13">
        <f t="shared" si="4"/>
        <v>1075942</v>
      </c>
      <c r="G23" s="13">
        <f t="shared" si="4"/>
        <v>-70094</v>
      </c>
      <c r="H23" s="13">
        <f t="shared" si="4"/>
        <v>1005848</v>
      </c>
    </row>
    <row r="24" spans="1:8" ht="12.75">
      <c r="A24" s="37" t="s">
        <v>45</v>
      </c>
      <c r="B24" s="16" t="s">
        <v>46</v>
      </c>
      <c r="C24" s="29">
        <v>1777580</v>
      </c>
      <c r="D24" s="29"/>
      <c r="E24" s="18">
        <f>D24+C24</f>
        <v>1777580</v>
      </c>
      <c r="F24" s="29">
        <v>1075942</v>
      </c>
      <c r="G24" s="29">
        <v>-70094</v>
      </c>
      <c r="H24" s="18">
        <f>G24+F24</f>
        <v>1005848</v>
      </c>
    </row>
    <row r="25" spans="1:8" ht="12.75">
      <c r="A25" s="39" t="s">
        <v>47</v>
      </c>
      <c r="B25" s="25" t="s">
        <v>48</v>
      </c>
      <c r="C25" s="32"/>
      <c r="D25" s="32"/>
      <c r="E25" s="27">
        <f>D25+C25</f>
        <v>0</v>
      </c>
      <c r="F25" s="32"/>
      <c r="G25" s="32"/>
      <c r="H25" s="27">
        <f>G25+F25</f>
        <v>0</v>
      </c>
    </row>
    <row r="26" spans="1:8" s="14" customFormat="1" ht="15.75" customHeight="1">
      <c r="A26" s="11" t="s">
        <v>49</v>
      </c>
      <c r="B26" s="11" t="s">
        <v>50</v>
      </c>
      <c r="C26" s="13">
        <f aca="true" t="shared" si="5" ref="C26:H26">SUM(C27:C29)</f>
        <v>18463951</v>
      </c>
      <c r="D26" s="13">
        <f t="shared" si="5"/>
        <v>0</v>
      </c>
      <c r="E26" s="13">
        <f t="shared" si="5"/>
        <v>18463951</v>
      </c>
      <c r="F26" s="13">
        <f t="shared" si="5"/>
        <v>19749230</v>
      </c>
      <c r="G26" s="13">
        <f t="shared" si="5"/>
        <v>-5160</v>
      </c>
      <c r="H26" s="13">
        <f t="shared" si="5"/>
        <v>19744070</v>
      </c>
    </row>
    <row r="27" spans="1:8" ht="12.75">
      <c r="A27" s="37" t="s">
        <v>51</v>
      </c>
      <c r="B27" s="16" t="s">
        <v>52</v>
      </c>
      <c r="C27" s="29">
        <v>14684329</v>
      </c>
      <c r="D27" s="29"/>
      <c r="E27" s="18">
        <f>D27+C27</f>
        <v>14684329</v>
      </c>
      <c r="F27" s="29">
        <v>14564070</v>
      </c>
      <c r="G27" s="29"/>
      <c r="H27" s="18">
        <f>G27+F27</f>
        <v>14564070</v>
      </c>
    </row>
    <row r="28" spans="1:8" ht="12.75">
      <c r="A28" s="38" t="s">
        <v>53</v>
      </c>
      <c r="B28" s="20" t="s">
        <v>54</v>
      </c>
      <c r="C28" s="30">
        <v>3083925</v>
      </c>
      <c r="D28" s="30"/>
      <c r="E28" s="22">
        <f>D28+C28</f>
        <v>3083925</v>
      </c>
      <c r="F28" s="30">
        <v>4508865</v>
      </c>
      <c r="G28" s="30">
        <v>-5160</v>
      </c>
      <c r="H28" s="22">
        <f>G28+F28</f>
        <v>4503705</v>
      </c>
    </row>
    <row r="29" spans="1:8" ht="12.75">
      <c r="A29" s="39" t="s">
        <v>55</v>
      </c>
      <c r="B29" s="25" t="s">
        <v>56</v>
      </c>
      <c r="C29" s="32">
        <v>695697</v>
      </c>
      <c r="D29" s="32"/>
      <c r="E29" s="27">
        <f>D29+C29</f>
        <v>695697</v>
      </c>
      <c r="F29" s="32">
        <v>676295</v>
      </c>
      <c r="G29" s="32"/>
      <c r="H29" s="27">
        <f>G29+F29</f>
        <v>676295</v>
      </c>
    </row>
    <row r="30" spans="1:8" s="34" customFormat="1" ht="24" customHeight="1">
      <c r="A30" s="11" t="s">
        <v>57</v>
      </c>
      <c r="B30" s="33" t="s">
        <v>58</v>
      </c>
      <c r="C30" s="13">
        <f aca="true" t="shared" si="6" ref="C30:H30">C19+C23+C26</f>
        <v>79369400</v>
      </c>
      <c r="D30" s="13">
        <f t="shared" si="6"/>
        <v>-30991</v>
      </c>
      <c r="E30" s="13">
        <f t="shared" si="6"/>
        <v>79338409</v>
      </c>
      <c r="F30" s="13">
        <f t="shared" si="6"/>
        <v>77840265</v>
      </c>
      <c r="G30" s="13">
        <f t="shared" si="6"/>
        <v>-1276</v>
      </c>
      <c r="H30" s="13">
        <f t="shared" si="6"/>
        <v>77838989</v>
      </c>
    </row>
    <row r="31" ht="12.75">
      <c r="D31" s="40"/>
    </row>
    <row r="32" ht="12.75">
      <c r="D32" s="40"/>
    </row>
    <row r="33" spans="1:8" ht="12.75">
      <c r="A33" s="41"/>
      <c r="B33" s="41"/>
      <c r="C33" s="41"/>
      <c r="D33" s="41"/>
      <c r="E33" s="41"/>
      <c r="F33" s="41"/>
      <c r="G33" s="41"/>
      <c r="H33" s="41"/>
    </row>
    <row r="34" spans="1:8" ht="12.75">
      <c r="A34" s="41"/>
      <c r="B34" s="41"/>
      <c r="C34" s="41"/>
      <c r="D34" s="41"/>
      <c r="E34" s="41"/>
      <c r="F34" s="41"/>
      <c r="G34" s="41"/>
      <c r="H34" s="41"/>
    </row>
    <row r="35" spans="1:8" ht="12.75">
      <c r="A35" s="41"/>
      <c r="B35" s="41"/>
      <c r="C35" s="484"/>
      <c r="D35" s="484"/>
      <c r="E35" s="41"/>
      <c r="F35" s="484"/>
      <c r="G35" s="484"/>
      <c r="H35" s="41"/>
    </row>
    <row r="36" spans="1:8" ht="12.75">
      <c r="A36" s="41"/>
      <c r="B36" s="41"/>
      <c r="C36" s="484"/>
      <c r="D36" s="484"/>
      <c r="E36" s="41"/>
      <c r="F36" s="484"/>
      <c r="G36" s="484"/>
      <c r="H36" s="41"/>
    </row>
    <row r="37" spans="1:8" ht="12.75">
      <c r="A37" s="41"/>
      <c r="B37" s="41"/>
      <c r="C37" s="41"/>
      <c r="D37" s="41"/>
      <c r="E37" s="41"/>
      <c r="F37" s="484"/>
      <c r="G37" s="484"/>
      <c r="H37" s="41"/>
    </row>
    <row r="38" ht="12.75">
      <c r="D38" s="40"/>
    </row>
    <row r="39" ht="12.75">
      <c r="D39" s="40"/>
    </row>
    <row r="40" ht="12.75">
      <c r="D40" s="40"/>
    </row>
    <row r="41" ht="12.75">
      <c r="D41" s="40"/>
    </row>
    <row r="42" ht="12.75">
      <c r="D42" s="40"/>
    </row>
    <row r="43" ht="12.75">
      <c r="D43" s="40"/>
    </row>
    <row r="44" ht="12.75">
      <c r="D44" s="40"/>
    </row>
    <row r="45" ht="12.75">
      <c r="D45" s="40"/>
    </row>
    <row r="46" ht="12.75">
      <c r="D46" s="40"/>
    </row>
    <row r="47" ht="12.75">
      <c r="D47" s="40"/>
    </row>
  </sheetData>
  <sheetProtection selectLockedCells="1" selectUnlockedCells="1"/>
  <mergeCells count="9">
    <mergeCell ref="A2:H2"/>
    <mergeCell ref="A3:H3"/>
    <mergeCell ref="A5:B5"/>
    <mergeCell ref="A18:B18"/>
    <mergeCell ref="F37:G37"/>
    <mergeCell ref="C35:D35"/>
    <mergeCell ref="F35:G35"/>
    <mergeCell ref="C36:D36"/>
    <mergeCell ref="F36:G36"/>
  </mergeCells>
  <printOptions horizontalCentered="1"/>
  <pageMargins left="0.19652777777777777" right="0.19652777777777777" top="0.3701388888888889" bottom="0.32013888888888886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H29"/>
  <sheetViews>
    <sheetView workbookViewId="0" topLeftCell="A1">
      <selection activeCell="A4" sqref="A4:H4"/>
    </sheetView>
  </sheetViews>
  <sheetFormatPr defaultColWidth="9.140625" defaultRowHeight="12.75"/>
  <cols>
    <col min="1" max="1" width="5.57421875" style="3" customWidth="1"/>
    <col min="2" max="2" width="42.421875" style="2" customWidth="1"/>
    <col min="3" max="3" width="13.7109375" style="3" customWidth="1"/>
    <col min="4" max="4" width="12.7109375" style="3" customWidth="1"/>
    <col min="5" max="6" width="13.7109375" style="3" customWidth="1"/>
    <col min="7" max="7" width="12.00390625" style="3" customWidth="1"/>
    <col min="8" max="8" width="13.7109375" style="3" customWidth="1"/>
    <col min="9" max="16384" width="8.00390625" style="3" customWidth="1"/>
  </cols>
  <sheetData>
    <row r="1" ht="12.75">
      <c r="H1" s="4" t="s">
        <v>364</v>
      </c>
    </row>
    <row r="2" spans="1:8" s="87" customFormat="1" ht="25.5" customHeight="1">
      <c r="A2" s="485" t="s">
        <v>362</v>
      </c>
      <c r="B2" s="485"/>
      <c r="C2" s="485"/>
      <c r="D2" s="485"/>
      <c r="E2" s="485"/>
      <c r="F2" s="485"/>
      <c r="G2" s="485"/>
      <c r="H2" s="485"/>
    </row>
    <row r="3" spans="1:8" s="88" customFormat="1" ht="18" customHeight="1">
      <c r="A3" s="493" t="s">
        <v>369</v>
      </c>
      <c r="B3" s="493"/>
      <c r="C3" s="493"/>
      <c r="D3" s="493"/>
      <c r="E3" s="493"/>
      <c r="F3" s="493"/>
      <c r="G3" s="493"/>
      <c r="H3" s="493"/>
    </row>
    <row r="4" spans="1:8" s="87" customFormat="1" ht="16.5" customHeight="1">
      <c r="A4" s="485"/>
      <c r="B4" s="485"/>
      <c r="C4" s="485"/>
      <c r="D4" s="485"/>
      <c r="E4" s="485"/>
      <c r="F4" s="485"/>
      <c r="G4" s="485"/>
      <c r="H4" s="485"/>
    </row>
    <row r="5" spans="1:8" s="87" customFormat="1" ht="16.5" customHeight="1">
      <c r="A5" s="89"/>
      <c r="B5" s="89"/>
      <c r="C5" s="89"/>
      <c r="D5" s="89"/>
      <c r="E5" s="89"/>
      <c r="F5" s="89"/>
      <c r="G5" s="89"/>
      <c r="H5" s="89"/>
    </row>
    <row r="6" spans="1:8" s="2" customFormat="1" ht="13.5" customHeight="1">
      <c r="A6" s="494" t="s">
        <v>3</v>
      </c>
      <c r="B6" s="494"/>
      <c r="C6" s="494"/>
      <c r="D6" s="494"/>
      <c r="E6" s="494"/>
      <c r="F6" s="494"/>
      <c r="G6" s="494"/>
      <c r="H6" s="494"/>
    </row>
    <row r="7" spans="1:8" ht="54" customHeight="1">
      <c r="A7" s="327" t="s">
        <v>117</v>
      </c>
      <c r="B7" s="328" t="s">
        <v>61</v>
      </c>
      <c r="C7" s="92" t="s">
        <v>5</v>
      </c>
      <c r="D7" s="92" t="s">
        <v>6</v>
      </c>
      <c r="E7" s="92" t="s">
        <v>7</v>
      </c>
      <c r="F7" s="92" t="s">
        <v>8</v>
      </c>
      <c r="G7" s="92" t="s">
        <v>6</v>
      </c>
      <c r="H7" s="93" t="s">
        <v>9</v>
      </c>
    </row>
    <row r="8" spans="1:8" s="45" customFormat="1" ht="18" customHeight="1">
      <c r="A8" s="329">
        <v>1</v>
      </c>
      <c r="B8" s="330" t="s">
        <v>118</v>
      </c>
      <c r="C8" s="96"/>
      <c r="D8" s="96"/>
      <c r="E8" s="97"/>
      <c r="F8" s="96">
        <v>589369</v>
      </c>
      <c r="G8" s="96"/>
      <c r="H8" s="98">
        <f>G8+F8</f>
        <v>589369</v>
      </c>
    </row>
    <row r="9" spans="1:8" s="45" customFormat="1" ht="18" customHeight="1">
      <c r="A9" s="331">
        <v>2</v>
      </c>
      <c r="B9" s="332" t="s">
        <v>119</v>
      </c>
      <c r="C9" s="101"/>
      <c r="D9" s="101"/>
      <c r="E9" s="102"/>
      <c r="F9" s="101"/>
      <c r="G9" s="101"/>
      <c r="H9" s="103">
        <f>G9+F9</f>
        <v>0</v>
      </c>
    </row>
    <row r="10" spans="1:8" s="45" customFormat="1" ht="25.5" customHeight="1">
      <c r="A10" s="333">
        <v>3</v>
      </c>
      <c r="B10" s="334" t="s">
        <v>120</v>
      </c>
      <c r="C10" s="106"/>
      <c r="D10" s="106"/>
      <c r="E10" s="107"/>
      <c r="F10" s="106">
        <v>-11570</v>
      </c>
      <c r="G10" s="106"/>
      <c r="H10" s="103">
        <f>G10+F10</f>
        <v>-11570</v>
      </c>
    </row>
    <row r="11" spans="1:8" s="45" customFormat="1" ht="18" customHeight="1">
      <c r="A11" s="333">
        <v>4</v>
      </c>
      <c r="B11" s="334" t="s">
        <v>121</v>
      </c>
      <c r="C11" s="106"/>
      <c r="D11" s="106"/>
      <c r="E11" s="107">
        <f>D11+C11</f>
        <v>0</v>
      </c>
      <c r="F11" s="106"/>
      <c r="G11" s="106"/>
      <c r="H11" s="103">
        <f>G11+F11</f>
        <v>0</v>
      </c>
    </row>
    <row r="12" spans="1:8" s="45" customFormat="1" ht="18" customHeight="1">
      <c r="A12" s="335">
        <v>5</v>
      </c>
      <c r="B12" s="336" t="s">
        <v>122</v>
      </c>
      <c r="C12" s="110"/>
      <c r="D12" s="110"/>
      <c r="E12" s="111">
        <f>D12+C12</f>
        <v>0</v>
      </c>
      <c r="F12" s="110"/>
      <c r="G12" s="110"/>
      <c r="H12" s="112">
        <f>G12+F12</f>
        <v>0</v>
      </c>
    </row>
    <row r="13" spans="1:8" s="14" customFormat="1" ht="18" customHeight="1">
      <c r="A13" s="337">
        <v>6</v>
      </c>
      <c r="B13" s="338" t="s">
        <v>123</v>
      </c>
      <c r="C13" s="115">
        <f>C8+C10-C11-C12</f>
        <v>0</v>
      </c>
      <c r="D13" s="115">
        <f>D8+D10-D11-D12</f>
        <v>0</v>
      </c>
      <c r="E13" s="115">
        <f>E8+E10-E11-E12</f>
        <v>0</v>
      </c>
      <c r="F13" s="115">
        <f>F8+F9+F10-F11-F12</f>
        <v>577799</v>
      </c>
      <c r="G13" s="115">
        <f>G8+C9+G10-G11-G12</f>
        <v>0</v>
      </c>
      <c r="H13" s="116">
        <f>H8+H9+H10-H11-H12</f>
        <v>577799</v>
      </c>
    </row>
    <row r="14" spans="1:8" s="45" customFormat="1" ht="18" customHeight="1">
      <c r="A14" s="331">
        <v>6</v>
      </c>
      <c r="B14" s="332" t="s">
        <v>124</v>
      </c>
      <c r="C14" s="101"/>
      <c r="D14" s="101"/>
      <c r="E14" s="102"/>
      <c r="F14" s="101"/>
      <c r="G14" s="101"/>
      <c r="H14" s="117">
        <f>G14+F14</f>
        <v>0</v>
      </c>
    </row>
    <row r="15" spans="1:8" s="45" customFormat="1" ht="18" customHeight="1">
      <c r="A15" s="333">
        <v>7</v>
      </c>
      <c r="B15" s="334" t="s">
        <v>125</v>
      </c>
      <c r="C15" s="52"/>
      <c r="D15" s="106"/>
      <c r="E15" s="107"/>
      <c r="F15" s="106"/>
      <c r="G15" s="106"/>
      <c r="H15" s="103">
        <f>G15+F15</f>
        <v>0</v>
      </c>
    </row>
    <row r="16" spans="1:8" s="45" customFormat="1" ht="27" customHeight="1">
      <c r="A16" s="333">
        <v>8</v>
      </c>
      <c r="B16" s="334" t="s">
        <v>126</v>
      </c>
      <c r="C16" s="52"/>
      <c r="D16" s="106"/>
      <c r="E16" s="107">
        <f>D16+C16</f>
        <v>0</v>
      </c>
      <c r="F16" s="106"/>
      <c r="G16" s="106"/>
      <c r="H16" s="103">
        <f>G16+F16</f>
        <v>0</v>
      </c>
    </row>
    <row r="17" spans="1:8" s="45" customFormat="1" ht="28.5" customHeight="1">
      <c r="A17" s="335">
        <v>9</v>
      </c>
      <c r="B17" s="336" t="s">
        <v>127</v>
      </c>
      <c r="C17" s="55"/>
      <c r="D17" s="110"/>
      <c r="E17" s="111">
        <f>D17+C17</f>
        <v>0</v>
      </c>
      <c r="F17" s="110"/>
      <c r="G17" s="110"/>
      <c r="H17" s="112">
        <f>G17+F17</f>
        <v>0</v>
      </c>
    </row>
    <row r="18" spans="1:8" s="14" customFormat="1" ht="18" customHeight="1">
      <c r="A18" s="337">
        <v>10</v>
      </c>
      <c r="B18" s="338" t="s">
        <v>128</v>
      </c>
      <c r="C18" s="118">
        <f aca="true" t="shared" si="0" ref="C18:H18">C13+C14+C15+C16+C17</f>
        <v>0</v>
      </c>
      <c r="D18" s="118">
        <f t="shared" si="0"/>
        <v>0</v>
      </c>
      <c r="E18" s="118">
        <f t="shared" si="0"/>
        <v>0</v>
      </c>
      <c r="F18" s="118">
        <f t="shared" si="0"/>
        <v>577799</v>
      </c>
      <c r="G18" s="118">
        <f t="shared" si="0"/>
        <v>0</v>
      </c>
      <c r="H18" s="119">
        <f t="shared" si="0"/>
        <v>577799</v>
      </c>
    </row>
    <row r="19" spans="1:8" s="45" customFormat="1" ht="20.25">
      <c r="A19" s="331">
        <v>11</v>
      </c>
      <c r="B19" s="332" t="s">
        <v>129</v>
      </c>
      <c r="C19" s="49"/>
      <c r="D19" s="101"/>
      <c r="E19" s="102">
        <f>D19+C19</f>
        <v>0</v>
      </c>
      <c r="F19" s="101"/>
      <c r="G19" s="101"/>
      <c r="H19" s="117">
        <f>G19+F19</f>
        <v>0</v>
      </c>
    </row>
    <row r="20" spans="1:8" s="45" customFormat="1" ht="18" customHeight="1">
      <c r="A20" s="333">
        <v>12</v>
      </c>
      <c r="B20" s="334" t="s">
        <v>130</v>
      </c>
      <c r="C20" s="106"/>
      <c r="D20" s="106"/>
      <c r="E20" s="107"/>
      <c r="F20" s="106">
        <f>67494+510305</f>
        <v>577799</v>
      </c>
      <c r="G20" s="106"/>
      <c r="H20" s="103">
        <f>G20+F20</f>
        <v>577799</v>
      </c>
    </row>
    <row r="21" spans="1:8" s="45" customFormat="1" ht="18" customHeight="1">
      <c r="A21" s="339">
        <v>13</v>
      </c>
      <c r="B21" s="340" t="s">
        <v>131</v>
      </c>
      <c r="C21" s="122"/>
      <c r="D21" s="122"/>
      <c r="E21" s="123"/>
      <c r="F21" s="122"/>
      <c r="G21" s="122"/>
      <c r="H21" s="124">
        <f>G21+F21</f>
        <v>0</v>
      </c>
    </row>
    <row r="26" spans="1:8" ht="12.75">
      <c r="A26" s="41"/>
      <c r="B26" s="41"/>
      <c r="C26" s="41"/>
      <c r="D26" s="41"/>
      <c r="E26" s="41"/>
      <c r="F26" s="41"/>
      <c r="G26" s="41"/>
      <c r="H26" s="41"/>
    </row>
    <row r="27" spans="1:8" ht="12.75" customHeight="1">
      <c r="A27" s="41"/>
      <c r="B27" s="41"/>
      <c r="C27" s="484"/>
      <c r="D27" s="484"/>
      <c r="E27" s="41"/>
      <c r="F27" s="484"/>
      <c r="G27" s="484"/>
      <c r="H27" s="41"/>
    </row>
    <row r="28" spans="1:8" ht="12.75">
      <c r="A28" s="41"/>
      <c r="B28" s="41"/>
      <c r="C28" s="484"/>
      <c r="D28" s="484"/>
      <c r="E28" s="41"/>
      <c r="F28" s="484"/>
      <c r="G28" s="484"/>
      <c r="H28" s="41"/>
    </row>
    <row r="29" spans="1:8" ht="12.75">
      <c r="A29" s="41"/>
      <c r="B29" s="41"/>
      <c r="C29" s="41"/>
      <c r="D29" s="41"/>
      <c r="E29" s="41"/>
      <c r="F29" s="484"/>
      <c r="G29" s="484"/>
      <c r="H29" s="41"/>
    </row>
  </sheetData>
  <sheetProtection selectLockedCells="1" selectUnlockedCells="1"/>
  <mergeCells count="9">
    <mergeCell ref="A2:H2"/>
    <mergeCell ref="A3:H3"/>
    <mergeCell ref="A4:H4"/>
    <mergeCell ref="A6:H6"/>
    <mergeCell ref="F29:G29"/>
    <mergeCell ref="C27:D27"/>
    <mergeCell ref="F27:G27"/>
    <mergeCell ref="C28:D28"/>
    <mergeCell ref="F28:G28"/>
  </mergeCells>
  <printOptions horizontalCentered="1"/>
  <pageMargins left="0.19652777777777777" right="0.19652777777777777" top="0.4798611111111111" bottom="0.4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3"/>
  <sheetViews>
    <sheetView zoomScaleSheetLayoutView="120" workbookViewId="0" topLeftCell="A1">
      <pane ySplit="5" topLeftCell="BM6" activePane="bottomLeft" state="frozen"/>
      <selection pane="topLeft" activeCell="A1" sqref="A1"/>
      <selection pane="bottomLeft" activeCell="H122" sqref="H118:H122"/>
    </sheetView>
  </sheetViews>
  <sheetFormatPr defaultColWidth="9.140625" defaultRowHeight="12.75"/>
  <cols>
    <col min="1" max="1" width="57.57421875" style="353" customWidth="1"/>
    <col min="2" max="2" width="5.28125" style="353" customWidth="1"/>
    <col min="3" max="3" width="11.421875" style="353" customWidth="1"/>
    <col min="4" max="4" width="10.421875" style="353" customWidth="1"/>
    <col min="5" max="5" width="10.421875" style="432" customWidth="1"/>
    <col min="6" max="6" width="22.7109375" style="354" bestFit="1" customWidth="1"/>
    <col min="7" max="7" width="21.57421875" style="353" bestFit="1" customWidth="1"/>
    <col min="8" max="8" width="19.140625" style="353" bestFit="1" customWidth="1"/>
    <col min="9" max="9" width="12.28125" style="353" customWidth="1"/>
    <col min="10" max="10" width="12.57421875" style="353" bestFit="1" customWidth="1"/>
    <col min="11" max="11" width="12.7109375" style="353" bestFit="1" customWidth="1"/>
    <col min="12" max="16384" width="10.28125" style="353" customWidth="1"/>
  </cols>
  <sheetData>
    <row r="1" spans="3:5" ht="15.75" thickBot="1">
      <c r="C1" s="531" t="s">
        <v>370</v>
      </c>
      <c r="D1" s="531"/>
      <c r="E1" s="531"/>
    </row>
    <row r="2" spans="1:5" ht="15">
      <c r="A2" s="532" t="s">
        <v>135</v>
      </c>
      <c r="B2" s="535" t="s">
        <v>371</v>
      </c>
      <c r="C2" s="538" t="s">
        <v>372</v>
      </c>
      <c r="D2" s="538" t="s">
        <v>373</v>
      </c>
      <c r="E2" s="542" t="s">
        <v>374</v>
      </c>
    </row>
    <row r="3" spans="1:5" ht="15">
      <c r="A3" s="533"/>
      <c r="B3" s="536"/>
      <c r="C3" s="539"/>
      <c r="D3" s="539"/>
      <c r="E3" s="543"/>
    </row>
    <row r="4" spans="1:5" ht="15">
      <c r="A4" s="534"/>
      <c r="B4" s="537"/>
      <c r="C4" s="540" t="s">
        <v>235</v>
      </c>
      <c r="D4" s="540"/>
      <c r="E4" s="541"/>
    </row>
    <row r="5" spans="1:6" s="359" customFormat="1" ht="15.75" thickBot="1">
      <c r="A5" s="355">
        <v>1</v>
      </c>
      <c r="B5" s="356">
        <v>2</v>
      </c>
      <c r="C5" s="356">
        <v>3</v>
      </c>
      <c r="D5" s="356">
        <v>4</v>
      </c>
      <c r="E5" s="357">
        <v>5</v>
      </c>
      <c r="F5" s="358"/>
    </row>
    <row r="6" spans="1:6" s="365" customFormat="1" ht="15">
      <c r="A6" s="360" t="s">
        <v>375</v>
      </c>
      <c r="B6" s="361" t="s">
        <v>176</v>
      </c>
      <c r="C6" s="362">
        <f>C7+C14+C17+C18</f>
        <v>991660</v>
      </c>
      <c r="D6" s="362">
        <f>D7+D14+D17+D18+D19</f>
        <v>351613</v>
      </c>
      <c r="E6" s="363"/>
      <c r="F6" s="364"/>
    </row>
    <row r="7" spans="1:6" s="365" customFormat="1" ht="15">
      <c r="A7" s="366" t="s">
        <v>376</v>
      </c>
      <c r="B7" s="367" t="s">
        <v>177</v>
      </c>
      <c r="C7" s="368">
        <f>C8+C11</f>
        <v>915663</v>
      </c>
      <c r="D7" s="368">
        <f>D8+D11</f>
        <v>345259</v>
      </c>
      <c r="E7" s="369"/>
      <c r="F7" s="370"/>
    </row>
    <row r="8" spans="1:6" s="365" customFormat="1" ht="15">
      <c r="A8" s="371" t="s">
        <v>377</v>
      </c>
      <c r="B8" s="367" t="s">
        <v>179</v>
      </c>
      <c r="C8" s="372">
        <f>SUM(C9:C10)</f>
        <v>0</v>
      </c>
      <c r="D8" s="372">
        <f>SUM(D9:D10)</f>
        <v>0</v>
      </c>
      <c r="E8" s="373"/>
      <c r="F8" s="370"/>
    </row>
    <row r="9" spans="1:6" s="365" customFormat="1" ht="15">
      <c r="A9" s="374" t="s">
        <v>378</v>
      </c>
      <c r="B9" s="367" t="s">
        <v>181</v>
      </c>
      <c r="C9" s="375">
        <v>0</v>
      </c>
      <c r="D9" s="375">
        <v>0</v>
      </c>
      <c r="E9" s="373"/>
      <c r="F9" s="370"/>
    </row>
    <row r="10" spans="1:6" s="365" customFormat="1" ht="15">
      <c r="A10" s="374" t="s">
        <v>379</v>
      </c>
      <c r="B10" s="367" t="s">
        <v>183</v>
      </c>
      <c r="C10" s="375">
        <v>0</v>
      </c>
      <c r="D10" s="375">
        <v>0</v>
      </c>
      <c r="E10" s="373"/>
      <c r="F10" s="370"/>
    </row>
    <row r="11" spans="1:6" s="365" customFormat="1" ht="15">
      <c r="A11" s="371" t="s">
        <v>380</v>
      </c>
      <c r="B11" s="367" t="s">
        <v>185</v>
      </c>
      <c r="C11" s="372">
        <f>SUM(C12:C13)</f>
        <v>915663</v>
      </c>
      <c r="D11" s="372">
        <f>SUM(D12:D13)</f>
        <v>345259</v>
      </c>
      <c r="E11" s="373"/>
      <c r="F11" s="370"/>
    </row>
    <row r="12" spans="1:6" s="365" customFormat="1" ht="15">
      <c r="A12" s="374" t="s">
        <v>381</v>
      </c>
      <c r="B12" s="367" t="s">
        <v>186</v>
      </c>
      <c r="C12" s="375">
        <f>4573+797081</f>
        <v>801654</v>
      </c>
      <c r="D12" s="375">
        <f>2266+342993</f>
        <v>345259</v>
      </c>
      <c r="E12" s="373"/>
      <c r="F12" s="370"/>
    </row>
    <row r="13" spans="1:6" s="365" customFormat="1" ht="15">
      <c r="A13" s="374" t="s">
        <v>382</v>
      </c>
      <c r="B13" s="367" t="s">
        <v>187</v>
      </c>
      <c r="C13" s="375">
        <f>27683+72773+9164+1062+3327</f>
        <v>114009</v>
      </c>
      <c r="D13" s="375">
        <v>0</v>
      </c>
      <c r="E13" s="373"/>
      <c r="F13" s="370"/>
    </row>
    <row r="14" spans="1:6" s="365" customFormat="1" ht="15">
      <c r="A14" s="366" t="s">
        <v>383</v>
      </c>
      <c r="B14" s="367" t="s">
        <v>189</v>
      </c>
      <c r="C14" s="372">
        <f>SUM(C15:C16)</f>
        <v>75997</v>
      </c>
      <c r="D14" s="372">
        <f>SUM(D15:D16)</f>
        <v>6354</v>
      </c>
      <c r="E14" s="373"/>
      <c r="F14" s="370"/>
    </row>
    <row r="15" spans="1:6" s="365" customFormat="1" ht="15">
      <c r="A15" s="374" t="s">
        <v>384</v>
      </c>
      <c r="B15" s="367" t="s">
        <v>28</v>
      </c>
      <c r="C15" s="375">
        <v>39827</v>
      </c>
      <c r="D15" s="375">
        <v>6354</v>
      </c>
      <c r="E15" s="373"/>
      <c r="F15" s="370"/>
    </row>
    <row r="16" spans="1:6" s="365" customFormat="1" ht="15">
      <c r="A16" s="374" t="s">
        <v>385</v>
      </c>
      <c r="B16" s="367" t="s">
        <v>30</v>
      </c>
      <c r="C16" s="375">
        <v>36170</v>
      </c>
      <c r="D16" s="375">
        <v>0</v>
      </c>
      <c r="E16" s="373"/>
      <c r="F16" s="370"/>
    </row>
    <row r="17" spans="1:6" s="365" customFormat="1" ht="15">
      <c r="A17" s="366" t="s">
        <v>386</v>
      </c>
      <c r="B17" s="367" t="s">
        <v>32</v>
      </c>
      <c r="C17" s="375"/>
      <c r="D17" s="375"/>
      <c r="E17" s="373"/>
      <c r="F17" s="370"/>
    </row>
    <row r="18" spans="1:6" s="365" customFormat="1" ht="15">
      <c r="A18" s="366" t="s">
        <v>387</v>
      </c>
      <c r="B18" s="367" t="s">
        <v>35</v>
      </c>
      <c r="C18" s="375"/>
      <c r="D18" s="376"/>
      <c r="E18" s="373"/>
      <c r="F18" s="370"/>
    </row>
    <row r="19" spans="1:6" s="365" customFormat="1" ht="15">
      <c r="A19" s="366" t="s">
        <v>388</v>
      </c>
      <c r="B19" s="367" t="s">
        <v>37</v>
      </c>
      <c r="C19" s="376"/>
      <c r="D19" s="377"/>
      <c r="E19" s="373"/>
      <c r="F19" s="370"/>
    </row>
    <row r="20" spans="1:7" s="365" customFormat="1" ht="15">
      <c r="A20" s="378" t="s">
        <v>389</v>
      </c>
      <c r="B20" s="367" t="s">
        <v>39</v>
      </c>
      <c r="C20" s="379">
        <f>C21+C91+C111+C130</f>
        <v>63068524.986</v>
      </c>
      <c r="D20" s="379">
        <v>52747535</v>
      </c>
      <c r="E20" s="380">
        <f>E21+E91+E111+E130</f>
        <v>0</v>
      </c>
      <c r="F20" s="381"/>
      <c r="G20" s="382"/>
    </row>
    <row r="21" spans="1:7" s="365" customFormat="1" ht="15">
      <c r="A21" s="378" t="s">
        <v>390</v>
      </c>
      <c r="B21" s="367" t="s">
        <v>41</v>
      </c>
      <c r="C21" s="379">
        <f>C22+C78+C89+C90</f>
        <v>54895272</v>
      </c>
      <c r="D21" s="379">
        <f>D22+D78+D89+D90</f>
        <v>50141507</v>
      </c>
      <c r="E21" s="380">
        <f>E22+E78+E89+E90</f>
        <v>0</v>
      </c>
      <c r="F21" s="381"/>
      <c r="G21" s="383"/>
    </row>
    <row r="22" spans="1:6" s="365" customFormat="1" ht="15">
      <c r="A22" s="366" t="s">
        <v>391</v>
      </c>
      <c r="B22" s="367" t="s">
        <v>43</v>
      </c>
      <c r="C22" s="384">
        <f>C23+C43</f>
        <v>52767381</v>
      </c>
      <c r="D22" s="384">
        <f>D23+D43</f>
        <v>47953255</v>
      </c>
      <c r="E22" s="385">
        <f>E23+E43</f>
        <v>0</v>
      </c>
      <c r="F22" s="370"/>
    </row>
    <row r="23" spans="1:6" s="365" customFormat="1" ht="20.25">
      <c r="A23" s="371" t="s">
        <v>392</v>
      </c>
      <c r="B23" s="367" t="s">
        <v>45</v>
      </c>
      <c r="C23" s="372">
        <f>C24+C27+C30+C33+C36+C39+C42</f>
        <v>42170717</v>
      </c>
      <c r="D23" s="372">
        <f>D24+D27+D30+D33+D36+D39+D42</f>
        <v>38883617</v>
      </c>
      <c r="E23" s="386">
        <f>E24+E27+E30+E33+E36+E39+E42</f>
        <v>0</v>
      </c>
      <c r="F23" s="370"/>
    </row>
    <row r="24" spans="1:6" s="365" customFormat="1" ht="15">
      <c r="A24" s="387" t="s">
        <v>393</v>
      </c>
      <c r="B24" s="367" t="s">
        <v>47</v>
      </c>
      <c r="C24" s="372">
        <f>SUM(C25:C26)</f>
        <v>0</v>
      </c>
      <c r="D24" s="372">
        <f>SUM(D25:D26)</f>
        <v>0</v>
      </c>
      <c r="E24" s="386">
        <f>SUM(E25:E26)</f>
        <v>0</v>
      </c>
      <c r="F24" s="370"/>
    </row>
    <row r="25" spans="1:6" s="365" customFormat="1" ht="15">
      <c r="A25" s="388" t="s">
        <v>394</v>
      </c>
      <c r="B25" s="367" t="s">
        <v>49</v>
      </c>
      <c r="C25" s="375"/>
      <c r="D25" s="375"/>
      <c r="E25" s="389"/>
      <c r="F25" s="370"/>
    </row>
    <row r="26" spans="1:6" s="365" customFormat="1" ht="15">
      <c r="A26" s="388" t="s">
        <v>395</v>
      </c>
      <c r="B26" s="367" t="s">
        <v>51</v>
      </c>
      <c r="C26" s="375"/>
      <c r="D26" s="376"/>
      <c r="E26" s="389"/>
      <c r="F26" s="370"/>
    </row>
    <row r="27" spans="1:6" s="365" customFormat="1" ht="15">
      <c r="A27" s="387" t="s">
        <v>396</v>
      </c>
      <c r="B27" s="367" t="s">
        <v>53</v>
      </c>
      <c r="C27" s="372">
        <f>SUM(C28:C29)</f>
        <v>0</v>
      </c>
      <c r="D27" s="372">
        <f>SUM(D28:D29)</f>
        <v>0</v>
      </c>
      <c r="E27" s="386">
        <f>SUM(E28:E29)</f>
        <v>0</v>
      </c>
      <c r="F27" s="370"/>
    </row>
    <row r="28" spans="1:6" s="365" customFormat="1" ht="15">
      <c r="A28" s="388" t="s">
        <v>397</v>
      </c>
      <c r="B28" s="367" t="s">
        <v>55</v>
      </c>
      <c r="C28" s="375"/>
      <c r="D28" s="375"/>
      <c r="E28" s="389"/>
      <c r="F28" s="370"/>
    </row>
    <row r="29" spans="1:6" s="365" customFormat="1" ht="15">
      <c r="A29" s="388" t="s">
        <v>398</v>
      </c>
      <c r="B29" s="367" t="s">
        <v>57</v>
      </c>
      <c r="C29" s="375"/>
      <c r="D29" s="376"/>
      <c r="E29" s="389"/>
      <c r="F29" s="370"/>
    </row>
    <row r="30" spans="1:6" s="365" customFormat="1" ht="15">
      <c r="A30" s="387" t="s">
        <v>399</v>
      </c>
      <c r="B30" s="367" t="s">
        <v>202</v>
      </c>
      <c r="C30" s="372">
        <f>SUM(C31:C32)</f>
        <v>0</v>
      </c>
      <c r="D30" s="372">
        <f>SUM(D31:D32)</f>
        <v>0</v>
      </c>
      <c r="E30" s="386">
        <f>SUM(E31:E32)</f>
        <v>0</v>
      </c>
      <c r="F30" s="370"/>
    </row>
    <row r="31" spans="1:6" s="365" customFormat="1" ht="15">
      <c r="A31" s="388" t="s">
        <v>400</v>
      </c>
      <c r="B31" s="367" t="s">
        <v>401</v>
      </c>
      <c r="C31" s="375"/>
      <c r="D31" s="375"/>
      <c r="E31" s="389"/>
      <c r="F31" s="370"/>
    </row>
    <row r="32" spans="1:6" s="365" customFormat="1" ht="15">
      <c r="A32" s="390" t="s">
        <v>402</v>
      </c>
      <c r="B32" s="367" t="s">
        <v>403</v>
      </c>
      <c r="C32" s="375"/>
      <c r="D32" s="376"/>
      <c r="E32" s="389"/>
      <c r="F32" s="370"/>
    </row>
    <row r="33" spans="1:7" s="365" customFormat="1" ht="15">
      <c r="A33" s="387" t="s">
        <v>404</v>
      </c>
      <c r="B33" s="367" t="s">
        <v>405</v>
      </c>
      <c r="C33" s="372">
        <f>SUM(C34:C35)</f>
        <v>0</v>
      </c>
      <c r="D33" s="372">
        <f>SUM(D34:D35)</f>
        <v>0</v>
      </c>
      <c r="E33" s="386">
        <f>SUM(E34:E35)</f>
        <v>0</v>
      </c>
      <c r="F33" s="364"/>
      <c r="G33" s="391"/>
    </row>
    <row r="34" spans="1:8" s="365" customFormat="1" ht="15">
      <c r="A34" s="388" t="s">
        <v>406</v>
      </c>
      <c r="B34" s="367" t="s">
        <v>407</v>
      </c>
      <c r="C34" s="375"/>
      <c r="D34" s="375"/>
      <c r="E34" s="389"/>
      <c r="F34" s="392"/>
      <c r="G34" s="393"/>
      <c r="H34" s="391"/>
    </row>
    <row r="35" spans="1:8" s="365" customFormat="1" ht="15">
      <c r="A35" s="390" t="s">
        <v>408</v>
      </c>
      <c r="B35" s="367" t="s">
        <v>409</v>
      </c>
      <c r="C35" s="375"/>
      <c r="D35" s="376"/>
      <c r="E35" s="389"/>
      <c r="F35" s="394"/>
      <c r="G35" s="393"/>
      <c r="H35" s="391"/>
    </row>
    <row r="36" spans="1:8" s="365" customFormat="1" ht="15">
      <c r="A36" s="387" t="s">
        <v>410</v>
      </c>
      <c r="B36" s="367" t="s">
        <v>411</v>
      </c>
      <c r="C36" s="372">
        <f>SUM(C37:C38)</f>
        <v>0</v>
      </c>
      <c r="D36" s="372">
        <f>SUM(D37:D38)</f>
        <v>0</v>
      </c>
      <c r="E36" s="386">
        <f>SUM(E37:E38)</f>
        <v>0</v>
      </c>
      <c r="F36" s="370"/>
      <c r="G36" s="395"/>
      <c r="H36" s="391"/>
    </row>
    <row r="37" spans="1:8" s="365" customFormat="1" ht="15">
      <c r="A37" s="388" t="s">
        <v>412</v>
      </c>
      <c r="B37" s="367" t="s">
        <v>413</v>
      </c>
      <c r="C37" s="375"/>
      <c r="D37" s="375"/>
      <c r="E37" s="389"/>
      <c r="F37" s="370"/>
      <c r="G37" s="395"/>
      <c r="H37" s="391"/>
    </row>
    <row r="38" spans="1:9" s="365" customFormat="1" ht="15">
      <c r="A38" s="390" t="s">
        <v>414</v>
      </c>
      <c r="B38" s="367" t="s">
        <v>415</v>
      </c>
      <c r="C38" s="375"/>
      <c r="D38" s="376"/>
      <c r="E38" s="389"/>
      <c r="F38" s="392"/>
      <c r="G38" s="393"/>
      <c r="H38" s="391"/>
      <c r="I38" s="391"/>
    </row>
    <row r="39" spans="1:8" s="365" customFormat="1" ht="15">
      <c r="A39" s="387" t="s">
        <v>416</v>
      </c>
      <c r="B39" s="367" t="s">
        <v>417</v>
      </c>
      <c r="C39" s="372">
        <f>SUM(C40:C41)</f>
        <v>42170717</v>
      </c>
      <c r="D39" s="372">
        <f>SUM(D40:D41)</f>
        <v>37641399</v>
      </c>
      <c r="E39" s="386">
        <f>SUM(E40:E41)</f>
        <v>0</v>
      </c>
      <c r="F39" s="392"/>
      <c r="G39" s="393"/>
      <c r="H39" s="391"/>
    </row>
    <row r="40" spans="1:7" s="365" customFormat="1" ht="15">
      <c r="A40" s="388" t="s">
        <v>418</v>
      </c>
      <c r="B40" s="367" t="s">
        <v>419</v>
      </c>
      <c r="C40" s="375">
        <f>23998370+426326+7090+17738931</f>
        <v>42170717</v>
      </c>
      <c r="D40" s="375">
        <f>22658649+426326+7090+14549334</f>
        <v>37641399</v>
      </c>
      <c r="E40" s="389"/>
      <c r="F40" s="396"/>
      <c r="G40" s="397"/>
    </row>
    <row r="41" spans="1:6" s="365" customFormat="1" ht="15">
      <c r="A41" s="390" t="s">
        <v>420</v>
      </c>
      <c r="B41" s="367" t="s">
        <v>421</v>
      </c>
      <c r="C41" s="375"/>
      <c r="D41" s="376"/>
      <c r="E41" s="389"/>
      <c r="F41" s="370"/>
    </row>
    <row r="42" spans="1:6" s="365" customFormat="1" ht="15">
      <c r="A42" s="387" t="s">
        <v>422</v>
      </c>
      <c r="B42" s="367" t="s">
        <v>423</v>
      </c>
      <c r="C42" s="376"/>
      <c r="D42" s="375">
        <v>1242218</v>
      </c>
      <c r="E42" s="373"/>
      <c r="F42" s="370"/>
    </row>
    <row r="43" spans="1:6" s="365" customFormat="1" ht="20.25">
      <c r="A43" s="371" t="s">
        <v>424</v>
      </c>
      <c r="B43" s="367" t="s">
        <v>425</v>
      </c>
      <c r="C43" s="372">
        <f>C44+C47+F157+C53+C56+C59+C62+C65+C68+C71+C74+C77</f>
        <v>10596664</v>
      </c>
      <c r="D43" s="372">
        <f>D44+D47+G157+D53+D56+D59+D62+D65+D68+D71+D74+D77</f>
        <v>9069638</v>
      </c>
      <c r="E43" s="386">
        <f>E44+E47+E50+E53+E56+E59+E62+E65+E68+E71+E74+E77</f>
        <v>0</v>
      </c>
      <c r="F43" s="370"/>
    </row>
    <row r="44" spans="1:6" s="365" customFormat="1" ht="15">
      <c r="A44" s="387" t="s">
        <v>426</v>
      </c>
      <c r="B44" s="367" t="s">
        <v>427</v>
      </c>
      <c r="C44" s="372"/>
      <c r="D44" s="372"/>
      <c r="E44" s="386">
        <f>SUM(E45:E46)</f>
        <v>0</v>
      </c>
      <c r="F44" s="370"/>
    </row>
    <row r="45" spans="1:6" s="365" customFormat="1" ht="15">
      <c r="A45" s="388" t="s">
        <v>428</v>
      </c>
      <c r="B45" s="367" t="s">
        <v>429</v>
      </c>
      <c r="C45" s="375"/>
      <c r="D45" s="375"/>
      <c r="E45" s="389"/>
      <c r="F45" s="370"/>
    </row>
    <row r="46" spans="1:6" s="365" customFormat="1" ht="15">
      <c r="A46" s="390" t="s">
        <v>430</v>
      </c>
      <c r="B46" s="367" t="s">
        <v>431</v>
      </c>
      <c r="C46" s="375"/>
      <c r="D46" s="376"/>
      <c r="E46" s="389"/>
      <c r="F46" s="370"/>
    </row>
    <row r="47" spans="1:6" s="365" customFormat="1" ht="15">
      <c r="A47" s="387" t="s">
        <v>432</v>
      </c>
      <c r="B47" s="367" t="s">
        <v>433</v>
      </c>
      <c r="C47" s="372">
        <f>SUM(C48:C49)</f>
        <v>0</v>
      </c>
      <c r="D47" s="372">
        <f>SUM(D48:D49)</f>
        <v>0</v>
      </c>
      <c r="E47" s="386">
        <f>SUM(E48:E49)</f>
        <v>0</v>
      </c>
      <c r="F47" s="370"/>
    </row>
    <row r="48" spans="1:6" s="365" customFormat="1" ht="15">
      <c r="A48" s="388" t="s">
        <v>434</v>
      </c>
      <c r="B48" s="367" t="s">
        <v>435</v>
      </c>
      <c r="C48" s="375"/>
      <c r="D48" s="375"/>
      <c r="E48" s="389"/>
      <c r="F48" s="370"/>
    </row>
    <row r="49" spans="1:6" s="365" customFormat="1" ht="15">
      <c r="A49" s="390" t="s">
        <v>436</v>
      </c>
      <c r="B49" s="367" t="s">
        <v>437</v>
      </c>
      <c r="C49" s="375"/>
      <c r="D49" s="376"/>
      <c r="E49" s="389"/>
      <c r="F49" s="370"/>
    </row>
    <row r="50" spans="1:6" s="365" customFormat="1" ht="15">
      <c r="A50" s="387" t="s">
        <v>438</v>
      </c>
      <c r="B50" s="367" t="s">
        <v>439</v>
      </c>
      <c r="C50" s="398"/>
      <c r="D50" s="398"/>
      <c r="E50" s="386">
        <f>SUM(E51:E52)</f>
        <v>0</v>
      </c>
      <c r="F50" s="370"/>
    </row>
    <row r="51" spans="1:6" s="365" customFormat="1" ht="15">
      <c r="A51" s="388" t="s">
        <v>440</v>
      </c>
      <c r="B51" s="367" t="s">
        <v>441</v>
      </c>
      <c r="C51" s="375"/>
      <c r="D51" s="375"/>
      <c r="E51" s="389"/>
      <c r="F51" s="370"/>
    </row>
    <row r="52" spans="1:6" s="365" customFormat="1" ht="15">
      <c r="A52" s="390" t="s">
        <v>442</v>
      </c>
      <c r="B52" s="367" t="s">
        <v>443</v>
      </c>
      <c r="C52" s="375"/>
      <c r="D52" s="376"/>
      <c r="E52" s="389"/>
      <c r="F52" s="370"/>
    </row>
    <row r="53" spans="1:6" s="365" customFormat="1" ht="15">
      <c r="A53" s="387" t="s">
        <v>444</v>
      </c>
      <c r="B53" s="367" t="s">
        <v>445</v>
      </c>
      <c r="C53" s="372">
        <f>SUM(C54:C55)</f>
        <v>0</v>
      </c>
      <c r="D53" s="372">
        <f>SUM(D54:D55)</f>
        <v>0</v>
      </c>
      <c r="E53" s="386">
        <f>SUM(E54:E55)</f>
        <v>0</v>
      </c>
      <c r="F53" s="370"/>
    </row>
    <row r="54" spans="1:6" s="365" customFormat="1" ht="15">
      <c r="A54" s="388" t="s">
        <v>446</v>
      </c>
      <c r="B54" s="367" t="s">
        <v>447</v>
      </c>
      <c r="C54" s="375"/>
      <c r="D54" s="375"/>
      <c r="E54" s="389"/>
      <c r="F54" s="370"/>
    </row>
    <row r="55" spans="1:6" s="365" customFormat="1" ht="15">
      <c r="A55" s="390" t="s">
        <v>448</v>
      </c>
      <c r="B55" s="367" t="s">
        <v>449</v>
      </c>
      <c r="C55" s="375"/>
      <c r="D55" s="376"/>
      <c r="E55" s="389"/>
      <c r="F55" s="370"/>
    </row>
    <row r="56" spans="1:6" s="365" customFormat="1" ht="15">
      <c r="A56" s="387" t="s">
        <v>450</v>
      </c>
      <c r="B56" s="367" t="s">
        <v>451</v>
      </c>
      <c r="C56" s="372">
        <f>SUM(C57:C58)</f>
        <v>9125284</v>
      </c>
      <c r="D56" s="372">
        <f>SUM(D57:D58)</f>
        <v>7673018</v>
      </c>
      <c r="E56" s="386">
        <f>SUM(E57:E58)</f>
        <v>0</v>
      </c>
      <c r="F56" s="370"/>
    </row>
    <row r="57" spans="1:6" s="365" customFormat="1" ht="15">
      <c r="A57" s="388" t="s">
        <v>452</v>
      </c>
      <c r="B57" s="367" t="s">
        <v>453</v>
      </c>
      <c r="C57" s="375">
        <v>9123377</v>
      </c>
      <c r="D57" s="375">
        <v>7673018</v>
      </c>
      <c r="E57" s="389"/>
      <c r="F57" s="370"/>
    </row>
    <row r="58" spans="1:6" s="365" customFormat="1" ht="15">
      <c r="A58" s="390" t="s">
        <v>454</v>
      </c>
      <c r="B58" s="367" t="s">
        <v>455</v>
      </c>
      <c r="C58" s="375">
        <v>1907</v>
      </c>
      <c r="D58" s="376"/>
      <c r="E58" s="389"/>
      <c r="F58" s="364"/>
    </row>
    <row r="59" spans="1:6" s="365" customFormat="1" ht="15">
      <c r="A59" s="387" t="s">
        <v>456</v>
      </c>
      <c r="B59" s="367" t="s">
        <v>457</v>
      </c>
      <c r="C59" s="372">
        <f>SUM(C60:C61)</f>
        <v>0</v>
      </c>
      <c r="D59" s="372">
        <f>SUM(D60:D61)</f>
        <v>0</v>
      </c>
      <c r="E59" s="386">
        <f>SUM(E60:E61)</f>
        <v>0</v>
      </c>
      <c r="F59" s="370"/>
    </row>
    <row r="60" spans="1:6" s="365" customFormat="1" ht="15">
      <c r="A60" s="388" t="s">
        <v>458</v>
      </c>
      <c r="B60" s="367" t="s">
        <v>459</v>
      </c>
      <c r="C60" s="375"/>
      <c r="D60" s="375"/>
      <c r="E60" s="389"/>
      <c r="F60" s="370"/>
    </row>
    <row r="61" spans="1:6" s="365" customFormat="1" ht="15">
      <c r="A61" s="390" t="s">
        <v>460</v>
      </c>
      <c r="B61" s="367" t="s">
        <v>461</v>
      </c>
      <c r="C61" s="375"/>
      <c r="D61" s="376"/>
      <c r="E61" s="389"/>
      <c r="F61" s="370"/>
    </row>
    <row r="62" spans="1:6" s="365" customFormat="1" ht="15">
      <c r="A62" s="387" t="s">
        <v>462</v>
      </c>
      <c r="B62" s="367" t="s">
        <v>463</v>
      </c>
      <c r="C62" s="372">
        <f>SUM(C63:C64)</f>
        <v>0</v>
      </c>
      <c r="D62" s="372">
        <f>SUM(D63:D64)</f>
        <v>0</v>
      </c>
      <c r="E62" s="386">
        <f>SUM(E63:E64)</f>
        <v>0</v>
      </c>
      <c r="F62" s="370"/>
    </row>
    <row r="63" spans="1:6" s="365" customFormat="1" ht="15">
      <c r="A63" s="388" t="s">
        <v>464</v>
      </c>
      <c r="B63" s="367" t="s">
        <v>465</v>
      </c>
      <c r="C63" s="375"/>
      <c r="D63" s="375"/>
      <c r="E63" s="389"/>
      <c r="F63" s="370"/>
    </row>
    <row r="64" spans="1:6" s="365" customFormat="1" ht="15">
      <c r="A64" s="390" t="s">
        <v>466</v>
      </c>
      <c r="B64" s="367" t="s">
        <v>467</v>
      </c>
      <c r="C64" s="375"/>
      <c r="D64" s="376"/>
      <c r="E64" s="389"/>
      <c r="F64" s="370"/>
    </row>
    <row r="65" spans="1:6" s="365" customFormat="1" ht="15">
      <c r="A65" s="387" t="s">
        <v>468</v>
      </c>
      <c r="B65" s="367" t="s">
        <v>469</v>
      </c>
      <c r="C65" s="372">
        <f>SUM(C66:C67)</f>
        <v>0</v>
      </c>
      <c r="D65" s="372">
        <f>SUM(D66:D67)</f>
        <v>0</v>
      </c>
      <c r="E65" s="386">
        <f>SUM(E66:E67)</f>
        <v>0</v>
      </c>
      <c r="F65" s="370"/>
    </row>
    <row r="66" spans="1:6" s="365" customFormat="1" ht="15">
      <c r="A66" s="388" t="s">
        <v>470</v>
      </c>
      <c r="B66" s="367" t="s">
        <v>471</v>
      </c>
      <c r="C66" s="375"/>
      <c r="D66" s="375"/>
      <c r="E66" s="389"/>
      <c r="F66" s="370"/>
    </row>
    <row r="67" spans="1:6" s="365" customFormat="1" ht="15">
      <c r="A67" s="390" t="s">
        <v>472</v>
      </c>
      <c r="B67" s="367" t="s">
        <v>473</v>
      </c>
      <c r="C67" s="375"/>
      <c r="D67" s="376"/>
      <c r="E67" s="389"/>
      <c r="F67" s="370"/>
    </row>
    <row r="68" spans="1:6" s="365" customFormat="1" ht="15">
      <c r="A68" s="387" t="s">
        <v>474</v>
      </c>
      <c r="B68" s="367" t="s">
        <v>475</v>
      </c>
      <c r="C68" s="372">
        <f>SUM(C69:C70)</f>
        <v>0</v>
      </c>
      <c r="D68" s="372">
        <f>SUM(D69:D70)</f>
        <v>0</v>
      </c>
      <c r="E68" s="386">
        <f>SUM(E69:E70)</f>
        <v>0</v>
      </c>
      <c r="F68" s="370"/>
    </row>
    <row r="69" spans="1:6" s="365" customFormat="1" ht="15">
      <c r="A69" s="388" t="s">
        <v>476</v>
      </c>
      <c r="B69" s="367" t="s">
        <v>477</v>
      </c>
      <c r="C69" s="375"/>
      <c r="D69" s="375"/>
      <c r="E69" s="389"/>
      <c r="F69" s="370"/>
    </row>
    <row r="70" spans="1:6" s="365" customFormat="1" ht="15">
      <c r="A70" s="390" t="s">
        <v>478</v>
      </c>
      <c r="B70" s="367" t="s">
        <v>479</v>
      </c>
      <c r="C70" s="375"/>
      <c r="D70" s="376"/>
      <c r="E70" s="389"/>
      <c r="F70" s="370"/>
    </row>
    <row r="71" spans="1:7" s="365" customFormat="1" ht="15">
      <c r="A71" s="387" t="s">
        <v>480</v>
      </c>
      <c r="B71" s="367" t="s">
        <v>481</v>
      </c>
      <c r="C71" s="372">
        <f>SUM(C72:C73)</f>
        <v>0</v>
      </c>
      <c r="D71" s="372">
        <f>SUM(D72:D73)</f>
        <v>0</v>
      </c>
      <c r="E71" s="386">
        <f>SUM(E72:E73)</f>
        <v>0</v>
      </c>
      <c r="F71" s="364"/>
      <c r="G71" s="391"/>
    </row>
    <row r="72" spans="1:8" s="365" customFormat="1" ht="15">
      <c r="A72" s="388" t="s">
        <v>482</v>
      </c>
      <c r="B72" s="367" t="s">
        <v>483</v>
      </c>
      <c r="C72" s="375"/>
      <c r="D72" s="375"/>
      <c r="E72" s="389"/>
      <c r="F72" s="399"/>
      <c r="G72" s="400"/>
      <c r="H72" s="391"/>
    </row>
    <row r="73" spans="1:8" s="365" customFormat="1" ht="15">
      <c r="A73" s="390" t="s">
        <v>484</v>
      </c>
      <c r="B73" s="367" t="s">
        <v>485</v>
      </c>
      <c r="C73" s="375"/>
      <c r="D73" s="376"/>
      <c r="E73" s="389"/>
      <c r="F73" s="392"/>
      <c r="G73" s="393"/>
      <c r="H73" s="391"/>
    </row>
    <row r="74" spans="1:8" s="365" customFormat="1" ht="15">
      <c r="A74" s="387" t="s">
        <v>486</v>
      </c>
      <c r="B74" s="367" t="s">
        <v>487</v>
      </c>
      <c r="C74" s="372">
        <f>SUM(C75:C76)</f>
        <v>1471380</v>
      </c>
      <c r="D74" s="372">
        <f>SUM(D75:D76)</f>
        <v>1396620</v>
      </c>
      <c r="E74" s="386">
        <f>SUM(E75:E76)</f>
        <v>0</v>
      </c>
      <c r="F74" s="392"/>
      <c r="G74" s="393"/>
      <c r="H74" s="391"/>
    </row>
    <row r="75" spans="1:7" s="365" customFormat="1" ht="15">
      <c r="A75" s="388" t="s">
        <v>488</v>
      </c>
      <c r="B75" s="367" t="s">
        <v>489</v>
      </c>
      <c r="C75" s="375">
        <f>1097369+90672+67075+199543+16721</f>
        <v>1471380</v>
      </c>
      <c r="D75" s="375">
        <f>1097369+90672+58524+136131+13924</f>
        <v>1396620</v>
      </c>
      <c r="E75" s="389"/>
      <c r="F75" s="370"/>
      <c r="G75" s="395"/>
    </row>
    <row r="76" spans="1:6" s="365" customFormat="1" ht="15">
      <c r="A76" s="390" t="s">
        <v>490</v>
      </c>
      <c r="B76" s="367" t="s">
        <v>491</v>
      </c>
      <c r="C76" s="375">
        <v>0</v>
      </c>
      <c r="D76" s="376"/>
      <c r="E76" s="389"/>
      <c r="F76" s="370"/>
    </row>
    <row r="77" spans="1:6" s="365" customFormat="1" ht="15">
      <c r="A77" s="387" t="s">
        <v>492</v>
      </c>
      <c r="B77" s="367" t="s">
        <v>493</v>
      </c>
      <c r="C77" s="376"/>
      <c r="D77" s="375"/>
      <c r="E77" s="373"/>
      <c r="F77" s="370"/>
    </row>
    <row r="78" spans="1:6" s="365" customFormat="1" ht="15">
      <c r="A78" s="366" t="s">
        <v>494</v>
      </c>
      <c r="B78" s="367" t="s">
        <v>495</v>
      </c>
      <c r="C78" s="384">
        <f>C79+C82+C85+C88</f>
        <v>2127891</v>
      </c>
      <c r="D78" s="384">
        <f>D79+D82+D85+D88</f>
        <v>2090749</v>
      </c>
      <c r="E78" s="401">
        <f>E79+E82+E85+E88</f>
        <v>0</v>
      </c>
      <c r="F78" s="370"/>
    </row>
    <row r="79" spans="1:6" s="365" customFormat="1" ht="15">
      <c r="A79" s="387" t="s">
        <v>496</v>
      </c>
      <c r="B79" s="367" t="s">
        <v>497</v>
      </c>
      <c r="C79" s="372">
        <f>SUM(C80:C81)</f>
        <v>1674569</v>
      </c>
      <c r="D79" s="372">
        <f>SUM(D80:D81)</f>
        <v>1674569</v>
      </c>
      <c r="E79" s="386">
        <f>SUM(E80:E81)</f>
        <v>0</v>
      </c>
      <c r="F79" s="370"/>
    </row>
    <row r="80" spans="1:6" s="365" customFormat="1" ht="15">
      <c r="A80" s="388" t="s">
        <v>498</v>
      </c>
      <c r="B80" s="367" t="s">
        <v>499</v>
      </c>
      <c r="C80" s="375">
        <f>1235180+439389</f>
        <v>1674569</v>
      </c>
      <c r="D80" s="375">
        <f>1235180+439389</f>
        <v>1674569</v>
      </c>
      <c r="E80" s="389"/>
      <c r="F80" s="370"/>
    </row>
    <row r="81" spans="1:6" s="365" customFormat="1" ht="15">
      <c r="A81" s="390" t="s">
        <v>500</v>
      </c>
      <c r="B81" s="367" t="s">
        <v>501</v>
      </c>
      <c r="C81" s="375"/>
      <c r="D81" s="376"/>
      <c r="E81" s="389"/>
      <c r="F81" s="370"/>
    </row>
    <row r="82" spans="1:6" s="365" customFormat="1" ht="15">
      <c r="A82" s="387" t="s">
        <v>502</v>
      </c>
      <c r="B82" s="367" t="s">
        <v>503</v>
      </c>
      <c r="C82" s="372">
        <f>SUM(C83:C84)</f>
        <v>0</v>
      </c>
      <c r="D82" s="372">
        <f>SUM(D83:D84)</f>
        <v>0</v>
      </c>
      <c r="E82" s="386">
        <f>SUM(E83:E84)</f>
        <v>0</v>
      </c>
      <c r="F82" s="370"/>
    </row>
    <row r="83" spans="1:6" s="365" customFormat="1" ht="15">
      <c r="A83" s="388" t="s">
        <v>504</v>
      </c>
      <c r="B83" s="367" t="s">
        <v>505</v>
      </c>
      <c r="C83" s="375"/>
      <c r="D83" s="375"/>
      <c r="E83" s="389"/>
      <c r="F83" s="370"/>
    </row>
    <row r="84" spans="1:6" s="365" customFormat="1" ht="15">
      <c r="A84" s="390" t="s">
        <v>506</v>
      </c>
      <c r="B84" s="367" t="s">
        <v>507</v>
      </c>
      <c r="C84" s="375"/>
      <c r="D84" s="376"/>
      <c r="E84" s="389"/>
      <c r="F84" s="370"/>
    </row>
    <row r="85" spans="1:7" s="365" customFormat="1" ht="15">
      <c r="A85" s="387" t="s">
        <v>508</v>
      </c>
      <c r="B85" s="367" t="s">
        <v>509</v>
      </c>
      <c r="C85" s="372">
        <f>SUM(C86:C87)</f>
        <v>453322</v>
      </c>
      <c r="D85" s="372">
        <f>SUM(D86:D87)</f>
        <v>416180</v>
      </c>
      <c r="E85" s="386">
        <f>SUM(E86:E87)</f>
        <v>0</v>
      </c>
      <c r="F85" s="370"/>
      <c r="G85" s="402"/>
    </row>
    <row r="86" spans="1:6" s="365" customFormat="1" ht="15">
      <c r="A86" s="388" t="s">
        <v>510</v>
      </c>
      <c r="B86" s="367" t="s">
        <v>511</v>
      </c>
      <c r="C86" s="375">
        <v>453322</v>
      </c>
      <c r="D86" s="375">
        <v>416180</v>
      </c>
      <c r="E86" s="389"/>
      <c r="F86" s="364"/>
    </row>
    <row r="87" spans="1:6" s="365" customFormat="1" ht="15">
      <c r="A87" s="390" t="s">
        <v>512</v>
      </c>
      <c r="B87" s="367" t="s">
        <v>513</v>
      </c>
      <c r="C87" s="375"/>
      <c r="D87" s="376"/>
      <c r="E87" s="389"/>
      <c r="F87" s="370"/>
    </row>
    <row r="88" spans="1:6" s="365" customFormat="1" ht="15">
      <c r="A88" s="387" t="s">
        <v>514</v>
      </c>
      <c r="B88" s="367" t="s">
        <v>515</v>
      </c>
      <c r="C88" s="376"/>
      <c r="D88" s="375">
        <v>0</v>
      </c>
      <c r="E88" s="373"/>
      <c r="F88" s="370"/>
    </row>
    <row r="89" spans="1:6" s="365" customFormat="1" ht="15">
      <c r="A89" s="366" t="s">
        <v>516</v>
      </c>
      <c r="B89" s="367" t="s">
        <v>517</v>
      </c>
      <c r="C89" s="403"/>
      <c r="D89" s="404">
        <v>97503</v>
      </c>
      <c r="E89" s="405"/>
      <c r="F89" s="370"/>
    </row>
    <row r="90" spans="1:6" s="365" customFormat="1" ht="15">
      <c r="A90" s="366" t="s">
        <v>518</v>
      </c>
      <c r="B90" s="367" t="s">
        <v>519</v>
      </c>
      <c r="C90" s="403"/>
      <c r="D90" s="404"/>
      <c r="E90" s="405"/>
      <c r="F90" s="370"/>
    </row>
    <row r="91" spans="1:7" s="365" customFormat="1" ht="15">
      <c r="A91" s="366" t="s">
        <v>520</v>
      </c>
      <c r="B91" s="367" t="s">
        <v>521</v>
      </c>
      <c r="C91" s="379">
        <f>C92+C103+C108+C109+C110</f>
        <v>7475345.986</v>
      </c>
      <c r="D91" s="379">
        <f>D92+D103+D108+D109+D110</f>
        <v>1030732</v>
      </c>
      <c r="E91" s="380">
        <f>E92+E103+E108+E109+E110</f>
        <v>0</v>
      </c>
      <c r="F91" s="381"/>
      <c r="G91" s="382"/>
    </row>
    <row r="92" spans="1:7" s="365" customFormat="1" ht="15">
      <c r="A92" s="366" t="s">
        <v>522</v>
      </c>
      <c r="B92" s="367" t="s">
        <v>523</v>
      </c>
      <c r="C92" s="384">
        <f>C93+C98</f>
        <v>7432563</v>
      </c>
      <c r="D92" s="384">
        <f>D93+D98</f>
        <v>1002478</v>
      </c>
      <c r="E92" s="385">
        <f>E93+E98</f>
        <v>0</v>
      </c>
      <c r="F92" s="370"/>
      <c r="G92" s="391"/>
    </row>
    <row r="93" spans="1:6" s="365" customFormat="1" ht="15">
      <c r="A93" s="371" t="s">
        <v>524</v>
      </c>
      <c r="B93" s="367" t="s">
        <v>525</v>
      </c>
      <c r="C93" s="372">
        <f>C94+C97</f>
        <v>456951</v>
      </c>
      <c r="D93" s="372">
        <f>D94+D97</f>
        <v>350862</v>
      </c>
      <c r="E93" s="373"/>
      <c r="F93" s="370"/>
    </row>
    <row r="94" spans="1:6" s="365" customFormat="1" ht="15">
      <c r="A94" s="387" t="s">
        <v>526</v>
      </c>
      <c r="B94" s="367" t="s">
        <v>527</v>
      </c>
      <c r="C94" s="372">
        <f>SUM(C95:C96)</f>
        <v>456951</v>
      </c>
      <c r="D94" s="372">
        <f>SUM(D95:D96)</f>
        <v>350862</v>
      </c>
      <c r="E94" s="373"/>
      <c r="F94" s="370"/>
    </row>
    <row r="95" spans="1:6" s="365" customFormat="1" ht="15">
      <c r="A95" s="388" t="s">
        <v>528</v>
      </c>
      <c r="B95" s="367" t="s">
        <v>529</v>
      </c>
      <c r="C95" s="375">
        <f>127373+176337+136655</f>
        <v>440365</v>
      </c>
      <c r="D95" s="375">
        <f>94734+119473+136655</f>
        <v>350862</v>
      </c>
      <c r="E95" s="373"/>
      <c r="F95" s="370"/>
    </row>
    <row r="96" spans="1:6" s="365" customFormat="1" ht="15">
      <c r="A96" s="390" t="s">
        <v>530</v>
      </c>
      <c r="B96" s="367" t="s">
        <v>531</v>
      </c>
      <c r="C96" s="375">
        <v>16586</v>
      </c>
      <c r="D96" s="376"/>
      <c r="E96" s="373"/>
      <c r="F96" s="370"/>
    </row>
    <row r="97" spans="1:6" s="365" customFormat="1" ht="15">
      <c r="A97" s="387" t="s">
        <v>532</v>
      </c>
      <c r="B97" s="367" t="s">
        <v>533</v>
      </c>
      <c r="C97" s="376"/>
      <c r="D97" s="375"/>
      <c r="E97" s="373"/>
      <c r="F97" s="364"/>
    </row>
    <row r="98" spans="1:11" s="365" customFormat="1" ht="15">
      <c r="A98" s="371" t="s">
        <v>534</v>
      </c>
      <c r="B98" s="367" t="s">
        <v>535</v>
      </c>
      <c r="C98" s="372">
        <f>C99+C102</f>
        <v>6975612</v>
      </c>
      <c r="D98" s="372">
        <f>D99+D102</f>
        <v>651616</v>
      </c>
      <c r="E98" s="373"/>
      <c r="F98" s="364"/>
      <c r="G98" s="391"/>
      <c r="H98" s="391"/>
      <c r="I98" s="391"/>
      <c r="J98" s="391"/>
      <c r="K98" s="391"/>
    </row>
    <row r="99" spans="1:11" s="365" customFormat="1" ht="15">
      <c r="A99" s="387" t="s">
        <v>536</v>
      </c>
      <c r="B99" s="367" t="s">
        <v>537</v>
      </c>
      <c r="C99" s="372">
        <f>SUM(C100:C101)</f>
        <v>6975612</v>
      </c>
      <c r="D99" s="372">
        <f>SUM(D100:D101)</f>
        <v>651616</v>
      </c>
      <c r="E99" s="373"/>
      <c r="F99" s="370"/>
      <c r="G99" s="406"/>
      <c r="H99" s="406"/>
      <c r="I99" s="406"/>
      <c r="J99" s="406"/>
      <c r="K99" s="406"/>
    </row>
    <row r="100" spans="1:11" s="365" customFormat="1" ht="15">
      <c r="A100" s="388" t="s">
        <v>538</v>
      </c>
      <c r="B100" s="367" t="s">
        <v>539</v>
      </c>
      <c r="C100" s="375">
        <f>1470890+3055122+116245</f>
        <v>4642257</v>
      </c>
      <c r="D100" s="375">
        <v>651616</v>
      </c>
      <c r="E100" s="373"/>
      <c r="F100" s="370"/>
      <c r="G100" s="406"/>
      <c r="H100" s="406"/>
      <c r="I100" s="406"/>
      <c r="J100" s="406"/>
      <c r="K100" s="406"/>
    </row>
    <row r="101" spans="1:11" s="365" customFormat="1" ht="15">
      <c r="A101" s="390" t="s">
        <v>540</v>
      </c>
      <c r="B101" s="367" t="s">
        <v>541</v>
      </c>
      <c r="C101" s="375">
        <f>1692593+640762</f>
        <v>2333355</v>
      </c>
      <c r="D101" s="376"/>
      <c r="E101" s="373"/>
      <c r="F101" s="370"/>
      <c r="G101" s="406"/>
      <c r="H101" s="406"/>
      <c r="I101" s="406"/>
      <c r="J101" s="406"/>
      <c r="K101" s="406"/>
    </row>
    <row r="102" spans="1:11" s="365" customFormat="1" ht="15">
      <c r="A102" s="387" t="s">
        <v>542</v>
      </c>
      <c r="B102" s="367" t="s">
        <v>543</v>
      </c>
      <c r="C102" s="376"/>
      <c r="D102" s="375"/>
      <c r="E102" s="373"/>
      <c r="F102" s="370"/>
      <c r="G102" s="406"/>
      <c r="H102" s="406"/>
      <c r="I102" s="406"/>
      <c r="J102" s="406"/>
      <c r="K102" s="406"/>
    </row>
    <row r="103" spans="1:11" s="365" customFormat="1" ht="15">
      <c r="A103" s="366" t="s">
        <v>544</v>
      </c>
      <c r="B103" s="367" t="s">
        <v>545</v>
      </c>
      <c r="C103" s="384">
        <f>C104+C107</f>
        <v>42782.986000000004</v>
      </c>
      <c r="D103" s="384">
        <f>D104+D107</f>
        <v>28254</v>
      </c>
      <c r="E103" s="405"/>
      <c r="F103" s="370"/>
      <c r="G103" s="406"/>
      <c r="H103" s="406"/>
      <c r="I103" s="406"/>
      <c r="J103" s="406"/>
      <c r="K103" s="406"/>
    </row>
    <row r="104" spans="1:11" s="365" customFormat="1" ht="15">
      <c r="A104" s="407" t="s">
        <v>546</v>
      </c>
      <c r="B104" s="367" t="s">
        <v>547</v>
      </c>
      <c r="C104" s="372">
        <f>SUM(C105:C106)</f>
        <v>42782.986000000004</v>
      </c>
      <c r="D104" s="372">
        <f>SUM(D105:D106)</f>
        <v>28254</v>
      </c>
      <c r="E104" s="373"/>
      <c r="F104" s="370"/>
      <c r="G104" s="406"/>
      <c r="H104" s="406"/>
      <c r="I104" s="406"/>
      <c r="J104" s="406"/>
      <c r="K104" s="406"/>
    </row>
    <row r="105" spans="1:11" s="365" customFormat="1" ht="15">
      <c r="A105" s="388" t="s">
        <v>548</v>
      </c>
      <c r="B105" s="367" t="s">
        <v>549</v>
      </c>
      <c r="C105" s="375">
        <f>7931+21100</f>
        <v>29031</v>
      </c>
      <c r="D105" s="375">
        <f>7154+21100</f>
        <v>28254</v>
      </c>
      <c r="E105" s="373"/>
      <c r="F105" s="370"/>
      <c r="G105" s="406"/>
      <c r="H105" s="406"/>
      <c r="I105" s="406"/>
      <c r="J105" s="406"/>
      <c r="K105" s="406"/>
    </row>
    <row r="106" spans="1:11" s="365" customFormat="1" ht="15">
      <c r="A106" s="390" t="s">
        <v>550</v>
      </c>
      <c r="B106" s="367" t="s">
        <v>551</v>
      </c>
      <c r="C106" s="408">
        <f>13751986/1000</f>
        <v>13751.986</v>
      </c>
      <c r="D106" s="376"/>
      <c r="E106" s="373"/>
      <c r="F106" s="396"/>
      <c r="G106" s="409"/>
      <c r="H106" s="409"/>
      <c r="I106" s="409"/>
      <c r="J106" s="409"/>
      <c r="K106" s="409"/>
    </row>
    <row r="107" spans="1:11" s="365" customFormat="1" ht="15">
      <c r="A107" s="407" t="s">
        <v>552</v>
      </c>
      <c r="B107" s="367" t="s">
        <v>553</v>
      </c>
      <c r="C107" s="376"/>
      <c r="D107" s="375"/>
      <c r="E107" s="373"/>
      <c r="F107" s="370"/>
      <c r="G107" s="406"/>
      <c r="H107" s="406"/>
      <c r="I107" s="406"/>
      <c r="J107" s="406"/>
      <c r="K107" s="406"/>
    </row>
    <row r="108" spans="1:11" s="365" customFormat="1" ht="15">
      <c r="A108" s="366" t="s">
        <v>554</v>
      </c>
      <c r="B108" s="367" t="s">
        <v>555</v>
      </c>
      <c r="C108" s="404"/>
      <c r="D108" s="404"/>
      <c r="E108" s="405"/>
      <c r="F108" s="370"/>
      <c r="G108" s="406"/>
      <c r="H108" s="406"/>
      <c r="I108" s="406"/>
      <c r="J108" s="406"/>
      <c r="K108" s="406"/>
    </row>
    <row r="109" spans="1:11" s="365" customFormat="1" ht="15">
      <c r="A109" s="366" t="s">
        <v>556</v>
      </c>
      <c r="B109" s="367" t="s">
        <v>557</v>
      </c>
      <c r="C109" s="403"/>
      <c r="D109" s="404"/>
      <c r="E109" s="405"/>
      <c r="F109" s="370"/>
      <c r="G109" s="406"/>
      <c r="H109" s="406"/>
      <c r="I109" s="406"/>
      <c r="J109" s="406"/>
      <c r="K109" s="406"/>
    </row>
    <row r="110" spans="1:11" s="365" customFormat="1" ht="15">
      <c r="A110" s="366" t="s">
        <v>558</v>
      </c>
      <c r="B110" s="367" t="s">
        <v>559</v>
      </c>
      <c r="C110" s="403"/>
      <c r="D110" s="404"/>
      <c r="E110" s="405"/>
      <c r="F110" s="370"/>
      <c r="G110" s="406"/>
      <c r="H110" s="406"/>
      <c r="I110" s="406"/>
      <c r="J110" s="406"/>
      <c r="K110" s="406"/>
    </row>
    <row r="111" spans="1:11" s="365" customFormat="1" ht="15">
      <c r="A111" s="366" t="s">
        <v>560</v>
      </c>
      <c r="B111" s="367" t="s">
        <v>561</v>
      </c>
      <c r="C111" s="379">
        <f>C112+C123+C127+C128+C129</f>
        <v>697907</v>
      </c>
      <c r="D111" s="379">
        <f>D112+D123+D127+D128+D129</f>
        <v>235364</v>
      </c>
      <c r="E111" s="369"/>
      <c r="F111" s="370"/>
      <c r="G111" s="406"/>
      <c r="H111" s="406"/>
      <c r="I111" s="406"/>
      <c r="J111" s="406"/>
      <c r="K111" s="406"/>
    </row>
    <row r="112" spans="1:11" s="365" customFormat="1" ht="15">
      <c r="A112" s="366" t="s">
        <v>562</v>
      </c>
      <c r="B112" s="367" t="s">
        <v>563</v>
      </c>
      <c r="C112" s="384">
        <f>C113+C118</f>
        <v>697907</v>
      </c>
      <c r="D112" s="384">
        <f>D113+D118</f>
        <v>235364</v>
      </c>
      <c r="E112" s="373"/>
      <c r="F112" s="370"/>
      <c r="G112" s="406"/>
      <c r="H112" s="406"/>
      <c r="I112" s="406"/>
      <c r="J112" s="406"/>
      <c r="K112" s="406"/>
    </row>
    <row r="113" spans="1:11" s="365" customFormat="1" ht="15">
      <c r="A113" s="371" t="s">
        <v>564</v>
      </c>
      <c r="B113" s="367" t="s">
        <v>565</v>
      </c>
      <c r="C113" s="372">
        <f>C114+C117</f>
        <v>0</v>
      </c>
      <c r="D113" s="372">
        <f>D114+D117</f>
        <v>0</v>
      </c>
      <c r="E113" s="373"/>
      <c r="F113" s="370"/>
      <c r="G113" s="406"/>
      <c r="H113" s="406"/>
      <c r="I113" s="406"/>
      <c r="J113" s="406"/>
      <c r="K113" s="406"/>
    </row>
    <row r="114" spans="1:11" s="365" customFormat="1" ht="15">
      <c r="A114" s="387" t="s">
        <v>566</v>
      </c>
      <c r="B114" s="367" t="s">
        <v>567</v>
      </c>
      <c r="C114" s="372">
        <f>SUM(C115:C116)</f>
        <v>0</v>
      </c>
      <c r="D114" s="372">
        <f>SUM(D115:D116)</f>
        <v>0</v>
      </c>
      <c r="E114" s="373"/>
      <c r="F114" s="370"/>
      <c r="G114" s="406"/>
      <c r="H114" s="406"/>
      <c r="I114" s="406"/>
      <c r="J114" s="406"/>
      <c r="K114" s="406"/>
    </row>
    <row r="115" spans="1:11" s="365" customFormat="1" ht="15">
      <c r="A115" s="388" t="s">
        <v>568</v>
      </c>
      <c r="B115" s="367" t="s">
        <v>569</v>
      </c>
      <c r="C115" s="375"/>
      <c r="D115" s="375"/>
      <c r="E115" s="373"/>
      <c r="F115" s="370"/>
      <c r="G115" s="406"/>
      <c r="H115" s="406"/>
      <c r="I115" s="406"/>
      <c r="J115" s="406"/>
      <c r="K115" s="406"/>
    </row>
    <row r="116" spans="1:11" s="365" customFormat="1" ht="15">
      <c r="A116" s="390" t="s">
        <v>570</v>
      </c>
      <c r="B116" s="367" t="s">
        <v>571</v>
      </c>
      <c r="C116" s="375"/>
      <c r="D116" s="376"/>
      <c r="E116" s="373"/>
      <c r="F116" s="370"/>
      <c r="G116" s="406"/>
      <c r="H116" s="406"/>
      <c r="I116" s="406"/>
      <c r="J116" s="406"/>
      <c r="K116" s="406"/>
    </row>
    <row r="117" spans="1:11" s="365" customFormat="1" ht="15">
      <c r="A117" s="387" t="s">
        <v>572</v>
      </c>
      <c r="B117" s="367" t="s">
        <v>573</v>
      </c>
      <c r="C117" s="376"/>
      <c r="D117" s="375"/>
      <c r="E117" s="373"/>
      <c r="F117" s="370"/>
      <c r="I117" s="406"/>
      <c r="J117" s="406"/>
      <c r="K117" s="406"/>
    </row>
    <row r="118" spans="1:11" s="365" customFormat="1" ht="15">
      <c r="A118" s="371" t="s">
        <v>574</v>
      </c>
      <c r="B118" s="367" t="s">
        <v>575</v>
      </c>
      <c r="C118" s="372">
        <f>C119+C122</f>
        <v>697907</v>
      </c>
      <c r="D118" s="372">
        <f>D119+D122</f>
        <v>235364</v>
      </c>
      <c r="E118" s="373"/>
      <c r="F118" s="370"/>
      <c r="I118" s="406"/>
      <c r="J118" s="406"/>
      <c r="K118" s="406"/>
    </row>
    <row r="119" spans="1:11" s="365" customFormat="1" ht="15">
      <c r="A119" s="387" t="s">
        <v>576</v>
      </c>
      <c r="B119" s="367" t="s">
        <v>577</v>
      </c>
      <c r="C119" s="372">
        <f>SUM(C120:C121)</f>
        <v>697907</v>
      </c>
      <c r="D119" s="372">
        <f>SUM(D120:D121)</f>
        <v>235364</v>
      </c>
      <c r="E119" s="373"/>
      <c r="F119" s="370"/>
      <c r="I119" s="406"/>
      <c r="J119" s="406"/>
      <c r="K119" s="406"/>
    </row>
    <row r="120" spans="1:11" s="365" customFormat="1" ht="15">
      <c r="A120" s="388" t="s">
        <v>578</v>
      </c>
      <c r="B120" s="367" t="s">
        <v>579</v>
      </c>
      <c r="C120" s="375">
        <v>604689</v>
      </c>
      <c r="D120" s="375">
        <v>235364</v>
      </c>
      <c r="E120" s="373"/>
      <c r="F120" s="370"/>
      <c r="I120" s="406"/>
      <c r="J120" s="406"/>
      <c r="K120" s="406"/>
    </row>
    <row r="121" spans="1:11" s="365" customFormat="1" ht="15">
      <c r="A121" s="390" t="s">
        <v>580</v>
      </c>
      <c r="B121" s="367" t="s">
        <v>581</v>
      </c>
      <c r="C121" s="375">
        <v>93218</v>
      </c>
      <c r="D121" s="376"/>
      <c r="E121" s="373"/>
      <c r="F121" s="370"/>
      <c r="I121" s="406"/>
      <c r="J121" s="406"/>
      <c r="K121" s="406"/>
    </row>
    <row r="122" spans="1:11" s="365" customFormat="1" ht="15">
      <c r="A122" s="387" t="s">
        <v>582</v>
      </c>
      <c r="B122" s="367" t="s">
        <v>583</v>
      </c>
      <c r="C122" s="376"/>
      <c r="D122" s="375"/>
      <c r="E122" s="373"/>
      <c r="F122" s="370"/>
      <c r="I122" s="406"/>
      <c r="J122" s="406"/>
      <c r="K122" s="406"/>
    </row>
    <row r="123" spans="1:11" s="365" customFormat="1" ht="15">
      <c r="A123" s="366" t="s">
        <v>584</v>
      </c>
      <c r="B123" s="367" t="s">
        <v>585</v>
      </c>
      <c r="C123" s="384">
        <f>C124+C127</f>
        <v>0</v>
      </c>
      <c r="D123" s="384">
        <f>D124+D127</f>
        <v>0</v>
      </c>
      <c r="E123" s="405"/>
      <c r="F123" s="370"/>
      <c r="I123" s="406"/>
      <c r="J123" s="406"/>
      <c r="K123" s="406"/>
    </row>
    <row r="124" spans="1:11" s="365" customFormat="1" ht="15">
      <c r="A124" s="387" t="s">
        <v>586</v>
      </c>
      <c r="B124" s="367" t="s">
        <v>587</v>
      </c>
      <c r="C124" s="372">
        <f>SUM(C125:C126)</f>
        <v>0</v>
      </c>
      <c r="D124" s="372">
        <f>SUM(D125:D126)</f>
        <v>0</v>
      </c>
      <c r="E124" s="373"/>
      <c r="F124" s="370"/>
      <c r="I124" s="406"/>
      <c r="J124" s="406"/>
      <c r="K124" s="406"/>
    </row>
    <row r="125" spans="1:11" s="365" customFormat="1" ht="15">
      <c r="A125" s="388" t="s">
        <v>588</v>
      </c>
      <c r="B125" s="367" t="s">
        <v>589</v>
      </c>
      <c r="C125" s="375"/>
      <c r="D125" s="375"/>
      <c r="E125" s="373"/>
      <c r="F125" s="370"/>
      <c r="I125" s="406"/>
      <c r="J125" s="406"/>
      <c r="K125" s="406"/>
    </row>
    <row r="126" spans="1:11" s="365" customFormat="1" ht="15">
      <c r="A126" s="390" t="s">
        <v>590</v>
      </c>
      <c r="B126" s="367" t="s">
        <v>591</v>
      </c>
      <c r="C126" s="375"/>
      <c r="D126" s="376"/>
      <c r="E126" s="373"/>
      <c r="F126" s="370"/>
      <c r="I126" s="406"/>
      <c r="J126" s="406"/>
      <c r="K126" s="406"/>
    </row>
    <row r="127" spans="1:11" s="365" customFormat="1" ht="15">
      <c r="A127" s="387" t="s">
        <v>592</v>
      </c>
      <c r="B127" s="367" t="s">
        <v>593</v>
      </c>
      <c r="C127" s="376"/>
      <c r="D127" s="375"/>
      <c r="E127" s="373"/>
      <c r="F127" s="370"/>
      <c r="I127" s="406"/>
      <c r="J127" s="406"/>
      <c r="K127" s="406"/>
    </row>
    <row r="128" spans="1:11" s="365" customFormat="1" ht="15">
      <c r="A128" s="366" t="s">
        <v>594</v>
      </c>
      <c r="B128" s="367" t="s">
        <v>595</v>
      </c>
      <c r="C128" s="403"/>
      <c r="D128" s="404"/>
      <c r="E128" s="405"/>
      <c r="F128" s="370"/>
      <c r="I128" s="406"/>
      <c r="J128" s="406"/>
      <c r="K128" s="406"/>
    </row>
    <row r="129" spans="1:11" s="365" customFormat="1" ht="15">
      <c r="A129" s="366" t="s">
        <v>596</v>
      </c>
      <c r="B129" s="367" t="s">
        <v>597</v>
      </c>
      <c r="C129" s="403"/>
      <c r="D129" s="404"/>
      <c r="E129" s="405"/>
      <c r="F129" s="370"/>
      <c r="I129" s="406"/>
      <c r="J129" s="406"/>
      <c r="K129" s="406"/>
    </row>
    <row r="130" spans="1:11" s="365" customFormat="1" ht="15">
      <c r="A130" s="366" t="s">
        <v>598</v>
      </c>
      <c r="B130" s="367" t="s">
        <v>599</v>
      </c>
      <c r="C130" s="384">
        <f>C131+C136+C137</f>
        <v>0</v>
      </c>
      <c r="D130" s="384">
        <f>D131+D136+D137</f>
        <v>0</v>
      </c>
      <c r="E130" s="405"/>
      <c r="F130" s="370"/>
      <c r="I130" s="406"/>
      <c r="J130" s="406"/>
      <c r="K130" s="406"/>
    </row>
    <row r="131" spans="1:11" s="365" customFormat="1" ht="15">
      <c r="A131" s="366" t="s">
        <v>600</v>
      </c>
      <c r="B131" s="367" t="s">
        <v>601</v>
      </c>
      <c r="C131" s="384">
        <f>C132+C135</f>
        <v>0</v>
      </c>
      <c r="D131" s="384">
        <f>D132+D135</f>
        <v>0</v>
      </c>
      <c r="E131" s="405"/>
      <c r="F131" s="370"/>
      <c r="I131" s="406"/>
      <c r="J131" s="406"/>
      <c r="K131" s="406"/>
    </row>
    <row r="132" spans="1:11" s="365" customFormat="1" ht="15">
      <c r="A132" s="407" t="s">
        <v>602</v>
      </c>
      <c r="B132" s="367" t="s">
        <v>603</v>
      </c>
      <c r="C132" s="372">
        <f>SUM(C133:C134)</f>
        <v>0</v>
      </c>
      <c r="D132" s="372">
        <f>SUM(D133:D134)</f>
        <v>0</v>
      </c>
      <c r="E132" s="373"/>
      <c r="F132" s="370"/>
      <c r="I132" s="406"/>
      <c r="J132" s="406"/>
      <c r="K132" s="406"/>
    </row>
    <row r="133" spans="1:11" s="365" customFormat="1" ht="15">
      <c r="A133" s="388" t="s">
        <v>604</v>
      </c>
      <c r="B133" s="367" t="s">
        <v>605</v>
      </c>
      <c r="C133" s="375"/>
      <c r="D133" s="375"/>
      <c r="E133" s="373"/>
      <c r="F133" s="370"/>
      <c r="I133" s="406"/>
      <c r="J133" s="406"/>
      <c r="K133" s="406"/>
    </row>
    <row r="134" spans="1:11" s="365" customFormat="1" ht="15">
      <c r="A134" s="390" t="s">
        <v>606</v>
      </c>
      <c r="B134" s="367" t="s">
        <v>607</v>
      </c>
      <c r="C134" s="375"/>
      <c r="D134" s="376"/>
      <c r="E134" s="373"/>
      <c r="F134" s="370"/>
      <c r="I134" s="406"/>
      <c r="J134" s="406"/>
      <c r="K134" s="406"/>
    </row>
    <row r="135" spans="1:11" s="365" customFormat="1" ht="15">
      <c r="A135" s="407" t="s">
        <v>608</v>
      </c>
      <c r="B135" s="367" t="s">
        <v>609</v>
      </c>
      <c r="C135" s="376"/>
      <c r="D135" s="375"/>
      <c r="E135" s="373"/>
      <c r="F135" s="370"/>
      <c r="I135" s="406"/>
      <c r="J135" s="406"/>
      <c r="K135" s="406"/>
    </row>
    <row r="136" spans="1:11" s="365" customFormat="1" ht="15">
      <c r="A136" s="366" t="s">
        <v>610</v>
      </c>
      <c r="B136" s="367" t="s">
        <v>611</v>
      </c>
      <c r="C136" s="403"/>
      <c r="D136" s="404"/>
      <c r="E136" s="405"/>
      <c r="F136" s="370"/>
      <c r="I136" s="406"/>
      <c r="J136" s="406"/>
      <c r="K136" s="406"/>
    </row>
    <row r="137" spans="1:11" s="365" customFormat="1" ht="15">
      <c r="A137" s="366" t="s">
        <v>612</v>
      </c>
      <c r="B137" s="367" t="s">
        <v>613</v>
      </c>
      <c r="C137" s="403"/>
      <c r="D137" s="404"/>
      <c r="E137" s="405"/>
      <c r="F137" s="370"/>
      <c r="I137" s="406"/>
      <c r="J137" s="406"/>
      <c r="K137" s="406"/>
    </row>
    <row r="138" spans="1:11" s="365" customFormat="1" ht="15">
      <c r="A138" s="378" t="s">
        <v>17</v>
      </c>
      <c r="B138" s="367" t="s">
        <v>614</v>
      </c>
      <c r="C138" s="376"/>
      <c r="D138" s="410">
        <f>D139</f>
        <v>1455315</v>
      </c>
      <c r="E138" s="373"/>
      <c r="F138" s="364"/>
      <c r="I138" s="406"/>
      <c r="J138" s="406"/>
      <c r="K138" s="406"/>
    </row>
    <row r="139" spans="1:6" s="365" customFormat="1" ht="15">
      <c r="A139" s="366" t="s">
        <v>615</v>
      </c>
      <c r="B139" s="367" t="s">
        <v>616</v>
      </c>
      <c r="C139" s="403"/>
      <c r="D139" s="404">
        <f>D140+D142+D143+D148</f>
        <v>1455315</v>
      </c>
      <c r="E139" s="405"/>
      <c r="F139" s="370"/>
    </row>
    <row r="140" spans="1:6" s="365" customFormat="1" ht="15">
      <c r="A140" s="366" t="s">
        <v>617</v>
      </c>
      <c r="B140" s="367" t="s">
        <v>618</v>
      </c>
      <c r="C140" s="403"/>
      <c r="D140" s="404">
        <f>SUM(D141)</f>
        <v>0</v>
      </c>
      <c r="E140" s="405"/>
      <c r="F140" s="370"/>
    </row>
    <row r="141" spans="1:6" s="365" customFormat="1" ht="15">
      <c r="A141" s="387" t="s">
        <v>619</v>
      </c>
      <c r="B141" s="367" t="s">
        <v>620</v>
      </c>
      <c r="C141" s="376"/>
      <c r="D141" s="375">
        <v>0</v>
      </c>
      <c r="E141" s="373"/>
      <c r="F141" s="370"/>
    </row>
    <row r="142" spans="1:6" s="365" customFormat="1" ht="15">
      <c r="A142" s="366" t="s">
        <v>621</v>
      </c>
      <c r="B142" s="367" t="s">
        <v>622</v>
      </c>
      <c r="C142" s="403"/>
      <c r="D142" s="411">
        <v>1400962</v>
      </c>
      <c r="E142" s="405"/>
      <c r="F142" s="370"/>
    </row>
    <row r="143" spans="1:6" s="365" customFormat="1" ht="15">
      <c r="A143" s="366" t="s">
        <v>623</v>
      </c>
      <c r="B143" s="367" t="s">
        <v>624</v>
      </c>
      <c r="C143" s="403"/>
      <c r="D143" s="404">
        <f>SUM(D144:D147)</f>
        <v>54353</v>
      </c>
      <c r="E143" s="405"/>
      <c r="F143" s="370"/>
    </row>
    <row r="144" spans="1:6" s="365" customFormat="1" ht="15">
      <c r="A144" s="387" t="s">
        <v>625</v>
      </c>
      <c r="B144" s="367" t="s">
        <v>626</v>
      </c>
      <c r="C144" s="376"/>
      <c r="D144" s="375">
        <v>2224</v>
      </c>
      <c r="E144" s="373"/>
      <c r="F144" s="370"/>
    </row>
    <row r="145" spans="1:6" s="365" customFormat="1" ht="15">
      <c r="A145" s="387" t="s">
        <v>627</v>
      </c>
      <c r="B145" s="367" t="s">
        <v>628</v>
      </c>
      <c r="C145" s="376"/>
      <c r="D145" s="375">
        <v>11820</v>
      </c>
      <c r="E145" s="373"/>
      <c r="F145" s="370"/>
    </row>
    <row r="146" spans="1:6" s="365" customFormat="1" ht="15">
      <c r="A146" s="387" t="s">
        <v>629</v>
      </c>
      <c r="B146" s="367" t="s">
        <v>630</v>
      </c>
      <c r="C146" s="376"/>
      <c r="D146" s="375"/>
      <c r="E146" s="373"/>
      <c r="F146" s="370"/>
    </row>
    <row r="147" spans="1:6" s="365" customFormat="1" ht="15">
      <c r="A147" s="387" t="s">
        <v>631</v>
      </c>
      <c r="B147" s="367" t="s">
        <v>632</v>
      </c>
      <c r="C147" s="376"/>
      <c r="D147" s="375">
        <v>40309</v>
      </c>
      <c r="E147" s="373"/>
      <c r="F147" s="370"/>
    </row>
    <row r="148" spans="1:6" s="365" customFormat="1" ht="15">
      <c r="A148" s="366" t="s">
        <v>633</v>
      </c>
      <c r="B148" s="367" t="s">
        <v>634</v>
      </c>
      <c r="C148" s="403"/>
      <c r="D148" s="404"/>
      <c r="E148" s="405"/>
      <c r="F148" s="370"/>
    </row>
    <row r="149" spans="1:7" s="365" customFormat="1" ht="15">
      <c r="A149" s="378" t="s">
        <v>635</v>
      </c>
      <c r="B149" s="367" t="s">
        <v>636</v>
      </c>
      <c r="C149" s="412">
        <f>C150+C170</f>
        <v>32195370</v>
      </c>
      <c r="D149" s="412">
        <f>D150+D170</f>
        <v>17837827</v>
      </c>
      <c r="E149" s="405"/>
      <c r="F149" s="381"/>
      <c r="G149" s="383"/>
    </row>
    <row r="150" spans="1:6" s="365" customFormat="1" ht="21">
      <c r="A150" s="366" t="s">
        <v>637</v>
      </c>
      <c r="B150" s="367" t="s">
        <v>638</v>
      </c>
      <c r="C150" s="384">
        <f>C152+C159+C166+C151</f>
        <v>28143836</v>
      </c>
      <c r="D150" s="384">
        <f>D152+D159+D166+D151</f>
        <v>14695000</v>
      </c>
      <c r="E150" s="405"/>
      <c r="F150" s="370"/>
    </row>
    <row r="151" spans="1:6" s="365" customFormat="1" ht="15">
      <c r="A151" s="366" t="s">
        <v>639</v>
      </c>
      <c r="B151" s="367"/>
      <c r="C151" s="384">
        <v>5060</v>
      </c>
      <c r="D151" s="384">
        <v>108</v>
      </c>
      <c r="E151" s="405"/>
      <c r="F151" s="370"/>
    </row>
    <row r="152" spans="1:6" s="365" customFormat="1" ht="15">
      <c r="A152" s="413" t="s">
        <v>640</v>
      </c>
      <c r="B152" s="367" t="s">
        <v>641</v>
      </c>
      <c r="C152" s="372">
        <f>C153+C156</f>
        <v>25113022</v>
      </c>
      <c r="D152" s="372">
        <f>D153+D156</f>
        <v>13877593</v>
      </c>
      <c r="E152" s="373"/>
      <c r="F152" s="370"/>
    </row>
    <row r="153" spans="1:6" s="365" customFormat="1" ht="15">
      <c r="A153" s="387" t="s">
        <v>642</v>
      </c>
      <c r="B153" s="367" t="s">
        <v>643</v>
      </c>
      <c r="C153" s="372">
        <f>C154+C155</f>
        <v>2476134</v>
      </c>
      <c r="D153" s="372">
        <f>D154+D155</f>
        <v>2220440</v>
      </c>
      <c r="E153" s="373"/>
      <c r="F153" s="370"/>
    </row>
    <row r="154" spans="1:6" s="365" customFormat="1" ht="15">
      <c r="A154" s="388" t="s">
        <v>644</v>
      </c>
      <c r="B154" s="367" t="s">
        <v>645</v>
      </c>
      <c r="C154" s="375">
        <f>1209467+610949+242907+381692+5098</f>
        <v>2450113</v>
      </c>
      <c r="D154" s="375">
        <f>1125696+521100+224558+344328+4758</f>
        <v>2220440</v>
      </c>
      <c r="E154" s="373"/>
      <c r="F154" s="370"/>
    </row>
    <row r="155" spans="1:6" s="365" customFormat="1" ht="15">
      <c r="A155" s="390" t="s">
        <v>646</v>
      </c>
      <c r="B155" s="367" t="s">
        <v>647</v>
      </c>
      <c r="C155" s="375">
        <f>21824+4197</f>
        <v>26021</v>
      </c>
      <c r="D155" s="376"/>
      <c r="E155" s="373"/>
      <c r="F155" s="370"/>
    </row>
    <row r="156" spans="1:6" s="365" customFormat="1" ht="15">
      <c r="A156" s="387" t="s">
        <v>648</v>
      </c>
      <c r="B156" s="367" t="s">
        <v>649</v>
      </c>
      <c r="C156" s="372">
        <f>C158+C157</f>
        <v>22636888</v>
      </c>
      <c r="D156" s="372">
        <f>D157+D158</f>
        <v>11657153</v>
      </c>
      <c r="E156" s="405"/>
      <c r="F156" s="364"/>
    </row>
    <row r="157" spans="1:7" s="365" customFormat="1" ht="15">
      <c r="A157" s="388" t="s">
        <v>650</v>
      </c>
      <c r="B157" s="367" t="s">
        <v>651</v>
      </c>
      <c r="C157" s="375">
        <f>13488+96+1235889+215577+806132+696820+21942+11050036+513859+441243+277076+7364570</f>
        <v>22636728</v>
      </c>
      <c r="D157" s="375">
        <f>13488+82+1235889+200770+727321+640671+19801+7983+416020+331710+250524+7364570+91+7998+440235</f>
        <v>11657153</v>
      </c>
      <c r="E157" s="373"/>
      <c r="F157" s="414"/>
      <c r="G157" s="415"/>
    </row>
    <row r="158" spans="1:6" s="365" customFormat="1" ht="15">
      <c r="A158" s="390" t="s">
        <v>646</v>
      </c>
      <c r="B158" s="367" t="s">
        <v>652</v>
      </c>
      <c r="C158" s="375">
        <f>150+10</f>
        <v>160</v>
      </c>
      <c r="D158" s="416"/>
      <c r="E158" s="405"/>
      <c r="F158" s="370"/>
    </row>
    <row r="159" spans="1:6" s="365" customFormat="1" ht="15">
      <c r="A159" s="413" t="s">
        <v>653</v>
      </c>
      <c r="B159" s="367" t="s">
        <v>654</v>
      </c>
      <c r="C159" s="372">
        <f>C160+C163</f>
        <v>2958401</v>
      </c>
      <c r="D159" s="372">
        <f>D160+D163</f>
        <v>811610</v>
      </c>
      <c r="E159" s="373"/>
      <c r="F159" s="364"/>
    </row>
    <row r="160" spans="1:6" s="365" customFormat="1" ht="15">
      <c r="A160" s="387" t="s">
        <v>655</v>
      </c>
      <c r="B160" s="367" t="s">
        <v>656</v>
      </c>
      <c r="C160" s="372">
        <f>C162+C161</f>
        <v>267641</v>
      </c>
      <c r="D160" s="372">
        <f>D161</f>
        <v>114810</v>
      </c>
      <c r="E160" s="373"/>
      <c r="F160" s="370"/>
    </row>
    <row r="161" spans="1:6" s="365" customFormat="1" ht="15">
      <c r="A161" s="388" t="s">
        <v>657</v>
      </c>
      <c r="B161" s="367" t="s">
        <v>658</v>
      </c>
      <c r="C161" s="375">
        <f>167493+5536+60748</f>
        <v>233777</v>
      </c>
      <c r="D161" s="375">
        <f>86516+2673+25621</f>
        <v>114810</v>
      </c>
      <c r="E161" s="373"/>
      <c r="F161" s="370"/>
    </row>
    <row r="162" spans="1:6" s="365" customFormat="1" ht="15">
      <c r="A162" s="390" t="s">
        <v>659</v>
      </c>
      <c r="B162" s="367" t="s">
        <v>660</v>
      </c>
      <c r="C162" s="375">
        <v>33864</v>
      </c>
      <c r="D162" s="376"/>
      <c r="E162" s="373"/>
      <c r="F162" s="370"/>
    </row>
    <row r="163" spans="1:6" s="365" customFormat="1" ht="15">
      <c r="A163" s="387" t="s">
        <v>661</v>
      </c>
      <c r="B163" s="367" t="s">
        <v>662</v>
      </c>
      <c r="C163" s="372">
        <f>C165+C164</f>
        <v>2690760</v>
      </c>
      <c r="D163" s="372">
        <f>D164</f>
        <v>696800</v>
      </c>
      <c r="E163" s="373"/>
      <c r="F163" s="370"/>
    </row>
    <row r="164" spans="1:6" s="365" customFormat="1" ht="15">
      <c r="A164" s="388" t="s">
        <v>663</v>
      </c>
      <c r="B164" s="367" t="s">
        <v>664</v>
      </c>
      <c r="C164" s="375">
        <f>13454+9173+299001+3468+132137+1006389+47899+446151+58907</f>
        <v>2016579</v>
      </c>
      <c r="D164" s="375">
        <f>9502+8867+129149+2394+26500+153105+2688+355651+8944</f>
        <v>696800</v>
      </c>
      <c r="E164" s="373"/>
      <c r="F164" s="370"/>
    </row>
    <row r="165" spans="1:6" s="365" customFormat="1" ht="15">
      <c r="A165" s="390" t="s">
        <v>665</v>
      </c>
      <c r="B165" s="367" t="s">
        <v>666</v>
      </c>
      <c r="C165" s="375">
        <f>511242+40570+90500+31869</f>
        <v>674181</v>
      </c>
      <c r="D165" s="416"/>
      <c r="E165" s="373"/>
      <c r="F165" s="370"/>
    </row>
    <row r="166" spans="1:6" s="365" customFormat="1" ht="15">
      <c r="A166" s="413" t="s">
        <v>667</v>
      </c>
      <c r="B166" s="367" t="s">
        <v>668</v>
      </c>
      <c r="C166" s="372">
        <f>C167</f>
        <v>67353</v>
      </c>
      <c r="D166" s="372">
        <f>D167</f>
        <v>5689</v>
      </c>
      <c r="E166" s="373"/>
      <c r="F166" s="364"/>
    </row>
    <row r="167" spans="1:6" s="365" customFormat="1" ht="15">
      <c r="A167" s="387" t="s">
        <v>669</v>
      </c>
      <c r="B167" s="367" t="s">
        <v>670</v>
      </c>
      <c r="C167" s="372">
        <f>C169+C168</f>
        <v>67353</v>
      </c>
      <c r="D167" s="372">
        <f>D168</f>
        <v>5689</v>
      </c>
      <c r="E167" s="373"/>
      <c r="F167" s="370"/>
    </row>
    <row r="168" spans="1:6" s="365" customFormat="1" ht="15">
      <c r="A168" s="388" t="s">
        <v>671</v>
      </c>
      <c r="B168" s="367" t="s">
        <v>672</v>
      </c>
      <c r="C168" s="375">
        <f>32021+338+13193</f>
        <v>45552</v>
      </c>
      <c r="D168" s="375">
        <f>3439+2250</f>
        <v>5689</v>
      </c>
      <c r="E168" s="373"/>
      <c r="F168" s="370"/>
    </row>
    <row r="169" spans="1:6" s="365" customFormat="1" ht="15">
      <c r="A169" s="390" t="s">
        <v>673</v>
      </c>
      <c r="B169" s="367" t="s">
        <v>674</v>
      </c>
      <c r="C169" s="375">
        <f>18769+338+2694</f>
        <v>21801</v>
      </c>
      <c r="D169" s="376"/>
      <c r="E169" s="373"/>
      <c r="F169" s="370"/>
    </row>
    <row r="170" spans="1:6" s="365" customFormat="1" ht="20.25">
      <c r="A170" s="417" t="s">
        <v>675</v>
      </c>
      <c r="B170" s="367" t="s">
        <v>676</v>
      </c>
      <c r="C170" s="384">
        <f>C171+C174+C177</f>
        <v>4051534</v>
      </c>
      <c r="D170" s="384">
        <f>D171+D174+D177</f>
        <v>3142827</v>
      </c>
      <c r="E170" s="385">
        <f>E171+E174+E177+E180</f>
        <v>0</v>
      </c>
      <c r="F170" s="370"/>
    </row>
    <row r="171" spans="1:6" s="365" customFormat="1" ht="21">
      <c r="A171" s="413" t="s">
        <v>677</v>
      </c>
      <c r="B171" s="367" t="s">
        <v>678</v>
      </c>
      <c r="C171" s="372">
        <f>C172+C173</f>
        <v>3927118</v>
      </c>
      <c r="D171" s="372">
        <f>D172</f>
        <v>3126351</v>
      </c>
      <c r="E171" s="386">
        <f>E172+E173</f>
        <v>0</v>
      </c>
      <c r="F171" s="364"/>
    </row>
    <row r="172" spans="1:6" s="365" customFormat="1" ht="15">
      <c r="A172" s="388" t="s">
        <v>679</v>
      </c>
      <c r="B172" s="367" t="s">
        <v>680</v>
      </c>
      <c r="C172" s="375">
        <f>25587+3901531</f>
        <v>3927118</v>
      </c>
      <c r="D172" s="375">
        <f>20212+3106139</f>
        <v>3126351</v>
      </c>
      <c r="E172" s="389"/>
      <c r="F172" s="370"/>
    </row>
    <row r="173" spans="1:6" s="365" customFormat="1" ht="15">
      <c r="A173" s="390" t="s">
        <v>681</v>
      </c>
      <c r="B173" s="367" t="s">
        <v>682</v>
      </c>
      <c r="C173" s="375">
        <v>0</v>
      </c>
      <c r="D173" s="376"/>
      <c r="E173" s="389"/>
      <c r="F173" s="370"/>
    </row>
    <row r="174" spans="1:6" s="365" customFormat="1" ht="15">
      <c r="A174" s="413" t="s">
        <v>683</v>
      </c>
      <c r="B174" s="367" t="s">
        <v>684</v>
      </c>
      <c r="C174" s="372">
        <f>C176+C175</f>
        <v>124416</v>
      </c>
      <c r="D174" s="372">
        <f>D175</f>
        <v>16476</v>
      </c>
      <c r="E174" s="373"/>
      <c r="F174" s="364"/>
    </row>
    <row r="175" spans="1:6" s="365" customFormat="1" ht="15">
      <c r="A175" s="388" t="s">
        <v>685</v>
      </c>
      <c r="B175" s="367" t="s">
        <v>686</v>
      </c>
      <c r="C175" s="375">
        <f>16058+33412+129+11450</f>
        <v>61049</v>
      </c>
      <c r="D175" s="375">
        <f>1501+5537+18+9420</f>
        <v>16476</v>
      </c>
      <c r="E175" s="373"/>
      <c r="F175" s="370"/>
    </row>
    <row r="176" spans="1:6" s="365" customFormat="1" ht="15">
      <c r="A176" s="390" t="s">
        <v>687</v>
      </c>
      <c r="B176" s="367" t="s">
        <v>688</v>
      </c>
      <c r="C176" s="375">
        <f>1061+233+2521+44+3378+618+612+54900</f>
        <v>63367</v>
      </c>
      <c r="D176" s="416"/>
      <c r="E176" s="373"/>
      <c r="F176" s="370"/>
    </row>
    <row r="177" spans="1:6" s="365" customFormat="1" ht="15">
      <c r="A177" s="413" t="s">
        <v>689</v>
      </c>
      <c r="B177" s="367" t="s">
        <v>690</v>
      </c>
      <c r="C177" s="372">
        <f>C179+C178</f>
        <v>0</v>
      </c>
      <c r="D177" s="372">
        <f>D178</f>
        <v>0</v>
      </c>
      <c r="E177" s="373"/>
      <c r="F177" s="364"/>
    </row>
    <row r="178" spans="1:6" s="365" customFormat="1" ht="15">
      <c r="A178" s="388" t="s">
        <v>691</v>
      </c>
      <c r="B178" s="367" t="s">
        <v>692</v>
      </c>
      <c r="C178" s="375">
        <v>0</v>
      </c>
      <c r="D178" s="375">
        <v>0</v>
      </c>
      <c r="E178" s="373"/>
      <c r="F178" s="370"/>
    </row>
    <row r="179" spans="1:6" s="365" customFormat="1" ht="15">
      <c r="A179" s="390" t="s">
        <v>693</v>
      </c>
      <c r="B179" s="367" t="s">
        <v>694</v>
      </c>
      <c r="C179" s="375">
        <v>0</v>
      </c>
      <c r="D179" s="376"/>
      <c r="E179" s="373"/>
      <c r="F179" s="370"/>
    </row>
    <row r="180" spans="1:6" s="365" customFormat="1" ht="15">
      <c r="A180" s="413" t="s">
        <v>695</v>
      </c>
      <c r="B180" s="367" t="s">
        <v>696</v>
      </c>
      <c r="C180" s="372">
        <f>C181+C182</f>
        <v>0</v>
      </c>
      <c r="D180" s="372">
        <f>D181+D182</f>
        <v>0</v>
      </c>
      <c r="E180" s="373"/>
      <c r="F180" s="370"/>
    </row>
    <row r="181" spans="1:6" s="365" customFormat="1" ht="15">
      <c r="A181" s="388" t="s">
        <v>697</v>
      </c>
      <c r="B181" s="367" t="s">
        <v>698</v>
      </c>
      <c r="C181" s="375"/>
      <c r="D181" s="375"/>
      <c r="E181" s="373"/>
      <c r="F181" s="370"/>
    </row>
    <row r="182" spans="1:6" s="365" customFormat="1" ht="15">
      <c r="A182" s="390" t="s">
        <v>699</v>
      </c>
      <c r="B182" s="367" t="s">
        <v>700</v>
      </c>
      <c r="C182" s="375"/>
      <c r="D182" s="376"/>
      <c r="E182" s="373"/>
      <c r="F182" s="370"/>
    </row>
    <row r="183" spans="1:6" s="365" customFormat="1" ht="15">
      <c r="A183" s="378" t="s">
        <v>701</v>
      </c>
      <c r="B183" s="367" t="s">
        <v>702</v>
      </c>
      <c r="C183" s="379">
        <f>C6+C20+C138+C149</f>
        <v>96255554.986</v>
      </c>
      <c r="D183" s="379">
        <f>D6+D20+D138+D149</f>
        <v>72392290</v>
      </c>
      <c r="E183" s="380">
        <f>E6+E20+E138+E149</f>
        <v>0</v>
      </c>
      <c r="F183" s="381"/>
    </row>
    <row r="184" spans="1:6" s="365" customFormat="1" ht="15">
      <c r="A184" s="378" t="s">
        <v>703</v>
      </c>
      <c r="B184" s="367" t="s">
        <v>704</v>
      </c>
      <c r="C184" s="376"/>
      <c r="D184" s="379">
        <f>D185+D193+D203</f>
        <v>192041</v>
      </c>
      <c r="E184" s="380">
        <f>E185+E193+E203</f>
        <v>0</v>
      </c>
      <c r="F184" s="364"/>
    </row>
    <row r="185" spans="1:6" s="365" customFormat="1" ht="15">
      <c r="A185" s="366" t="s">
        <v>705</v>
      </c>
      <c r="B185" s="367" t="s">
        <v>706</v>
      </c>
      <c r="C185" s="403"/>
      <c r="D185" s="384">
        <f>SUM(D186:D192)</f>
        <v>10173</v>
      </c>
      <c r="E185" s="405"/>
      <c r="F185" s="370"/>
    </row>
    <row r="186" spans="1:6" s="365" customFormat="1" ht="15">
      <c r="A186" s="387" t="s">
        <v>707</v>
      </c>
      <c r="B186" s="367" t="s">
        <v>708</v>
      </c>
      <c r="C186" s="376"/>
      <c r="D186" s="375"/>
      <c r="E186" s="373"/>
      <c r="F186" s="370"/>
    </row>
    <row r="187" spans="1:6" s="365" customFormat="1" ht="15">
      <c r="A187" s="387" t="s">
        <v>709</v>
      </c>
      <c r="B187" s="367" t="s">
        <v>710</v>
      </c>
      <c r="C187" s="376"/>
      <c r="D187" s="375"/>
      <c r="E187" s="373"/>
      <c r="F187" s="370"/>
    </row>
    <row r="188" spans="1:6" s="365" customFormat="1" ht="15">
      <c r="A188" s="387" t="s">
        <v>711</v>
      </c>
      <c r="B188" s="367" t="s">
        <v>712</v>
      </c>
      <c r="C188" s="376"/>
      <c r="D188" s="375"/>
      <c r="E188" s="373"/>
      <c r="F188" s="370"/>
    </row>
    <row r="189" spans="1:6" s="365" customFormat="1" ht="15">
      <c r="A189" s="387" t="s">
        <v>713</v>
      </c>
      <c r="B189" s="367" t="s">
        <v>714</v>
      </c>
      <c r="C189" s="376"/>
      <c r="D189" s="375"/>
      <c r="E189" s="373"/>
      <c r="F189" s="370"/>
    </row>
    <row r="190" spans="1:6" s="365" customFormat="1" ht="15">
      <c r="A190" s="387" t="s">
        <v>715</v>
      </c>
      <c r="B190" s="367" t="s">
        <v>716</v>
      </c>
      <c r="C190" s="376"/>
      <c r="D190" s="375"/>
      <c r="E190" s="373"/>
      <c r="F190" s="370"/>
    </row>
    <row r="191" spans="1:6" s="365" customFormat="1" ht="15">
      <c r="A191" s="418" t="s">
        <v>717</v>
      </c>
      <c r="B191" s="367" t="s">
        <v>718</v>
      </c>
      <c r="C191" s="376"/>
      <c r="D191" s="375">
        <v>10173</v>
      </c>
      <c r="E191" s="373"/>
      <c r="F191" s="370"/>
    </row>
    <row r="192" spans="1:6" s="365" customFormat="1" ht="15">
      <c r="A192" s="387" t="s">
        <v>719</v>
      </c>
      <c r="B192" s="367" t="s">
        <v>720</v>
      </c>
      <c r="C192" s="376"/>
      <c r="D192" s="375"/>
      <c r="E192" s="373"/>
      <c r="F192" s="370"/>
    </row>
    <row r="193" spans="1:6" s="365" customFormat="1" ht="15">
      <c r="A193" s="366" t="s">
        <v>721</v>
      </c>
      <c r="B193" s="367" t="s">
        <v>722</v>
      </c>
      <c r="C193" s="403"/>
      <c r="D193" s="384">
        <f>SUM(D194:D197)+D198</f>
        <v>181617</v>
      </c>
      <c r="E193" s="385">
        <f>SUM(E194:E197)+E198</f>
        <v>0</v>
      </c>
      <c r="F193" s="370"/>
    </row>
    <row r="194" spans="1:6" s="365" customFormat="1" ht="15">
      <c r="A194" s="387" t="s">
        <v>723</v>
      </c>
      <c r="B194" s="367" t="s">
        <v>724</v>
      </c>
      <c r="C194" s="376"/>
      <c r="D194" s="375"/>
      <c r="E194" s="373"/>
      <c r="F194" s="370"/>
    </row>
    <row r="195" spans="1:6" s="365" customFormat="1" ht="15">
      <c r="A195" s="387" t="s">
        <v>725</v>
      </c>
      <c r="B195" s="367" t="s">
        <v>726</v>
      </c>
      <c r="C195" s="376"/>
      <c r="D195" s="375"/>
      <c r="E195" s="373"/>
      <c r="F195" s="370"/>
    </row>
    <row r="196" spans="1:6" s="365" customFormat="1" ht="15">
      <c r="A196" s="387" t="s">
        <v>727</v>
      </c>
      <c r="B196" s="367" t="s">
        <v>728</v>
      </c>
      <c r="C196" s="376"/>
      <c r="D196" s="375">
        <v>181617</v>
      </c>
      <c r="E196" s="373"/>
      <c r="F196" s="370"/>
    </row>
    <row r="197" spans="1:6" s="365" customFormat="1" ht="15">
      <c r="A197" s="387" t="s">
        <v>729</v>
      </c>
      <c r="B197" s="367" t="s">
        <v>730</v>
      </c>
      <c r="C197" s="376"/>
      <c r="D197" s="375"/>
      <c r="E197" s="373"/>
      <c r="F197" s="370"/>
    </row>
    <row r="198" spans="1:6" s="365" customFormat="1" ht="15">
      <c r="A198" s="387" t="s">
        <v>731</v>
      </c>
      <c r="B198" s="367" t="s">
        <v>732</v>
      </c>
      <c r="C198" s="376"/>
      <c r="D198" s="372">
        <f>SUM(D199:D202)</f>
        <v>0</v>
      </c>
      <c r="E198" s="386">
        <f>SUM(E199:E202)</f>
        <v>0</v>
      </c>
      <c r="F198" s="370"/>
    </row>
    <row r="199" spans="1:6" s="365" customFormat="1" ht="15">
      <c r="A199" s="388" t="s">
        <v>733</v>
      </c>
      <c r="B199" s="367" t="s">
        <v>734</v>
      </c>
      <c r="C199" s="376"/>
      <c r="D199" s="375"/>
      <c r="E199" s="389"/>
      <c r="F199" s="370"/>
    </row>
    <row r="200" spans="1:6" s="365" customFormat="1" ht="15">
      <c r="A200" s="388" t="s">
        <v>735</v>
      </c>
      <c r="B200" s="367" t="s">
        <v>736</v>
      </c>
      <c r="C200" s="376"/>
      <c r="D200" s="375"/>
      <c r="E200" s="373"/>
      <c r="F200" s="370"/>
    </row>
    <row r="201" spans="1:6" s="365" customFormat="1" ht="15">
      <c r="A201" s="388" t="s">
        <v>737</v>
      </c>
      <c r="B201" s="367" t="s">
        <v>738</v>
      </c>
      <c r="C201" s="376"/>
      <c r="D201" s="375"/>
      <c r="E201" s="373"/>
      <c r="F201" s="370"/>
    </row>
    <row r="202" spans="1:6" s="365" customFormat="1" ht="15">
      <c r="A202" s="388" t="s">
        <v>739</v>
      </c>
      <c r="B202" s="367" t="s">
        <v>740</v>
      </c>
      <c r="C202" s="376"/>
      <c r="D202" s="375"/>
      <c r="E202" s="373"/>
      <c r="F202" s="370"/>
    </row>
    <row r="203" spans="1:6" s="365" customFormat="1" ht="15">
      <c r="A203" s="366" t="s">
        <v>741</v>
      </c>
      <c r="B203" s="367" t="s">
        <v>742</v>
      </c>
      <c r="C203" s="403"/>
      <c r="D203" s="384">
        <f>SUM(D204:D206)</f>
        <v>251</v>
      </c>
      <c r="E203" s="405"/>
      <c r="F203" s="370"/>
    </row>
    <row r="204" spans="1:6" s="365" customFormat="1" ht="15">
      <c r="A204" s="387" t="s">
        <v>743</v>
      </c>
      <c r="B204" s="367" t="s">
        <v>744</v>
      </c>
      <c r="C204" s="376"/>
      <c r="D204" s="375">
        <v>251</v>
      </c>
      <c r="E204" s="373"/>
      <c r="F204" s="370"/>
    </row>
    <row r="205" spans="1:6" s="365" customFormat="1" ht="15">
      <c r="A205" s="387" t="s">
        <v>745</v>
      </c>
      <c r="B205" s="367" t="s">
        <v>746</v>
      </c>
      <c r="C205" s="376"/>
      <c r="D205" s="375"/>
      <c r="E205" s="373"/>
      <c r="F205" s="370"/>
    </row>
    <row r="206" spans="1:6" s="365" customFormat="1" ht="15">
      <c r="A206" s="387" t="s">
        <v>747</v>
      </c>
      <c r="B206" s="367" t="s">
        <v>748</v>
      </c>
      <c r="C206" s="376"/>
      <c r="D206" s="375"/>
      <c r="E206" s="373"/>
      <c r="F206" s="370"/>
    </row>
    <row r="207" spans="1:6" s="365" customFormat="1" ht="15">
      <c r="A207" s="378" t="s">
        <v>749</v>
      </c>
      <c r="B207" s="367" t="s">
        <v>750</v>
      </c>
      <c r="C207" s="376"/>
      <c r="D207" s="379">
        <f>D208+D209+D214+D227+D228+D229</f>
        <v>1302325</v>
      </c>
      <c r="E207" s="373"/>
      <c r="F207" s="364"/>
    </row>
    <row r="208" spans="1:6" s="365" customFormat="1" ht="15">
      <c r="A208" s="366" t="s">
        <v>751</v>
      </c>
      <c r="B208" s="367" t="s">
        <v>752</v>
      </c>
      <c r="C208" s="403"/>
      <c r="D208" s="404">
        <v>124588</v>
      </c>
      <c r="E208" s="405"/>
      <c r="F208" s="370"/>
    </row>
    <row r="209" spans="1:6" s="365" customFormat="1" ht="15">
      <c r="A209" s="366" t="s">
        <v>753</v>
      </c>
      <c r="B209" s="367" t="s">
        <v>754</v>
      </c>
      <c r="C209" s="403"/>
      <c r="D209" s="384">
        <v>292127</v>
      </c>
      <c r="E209" s="405"/>
      <c r="F209" s="370"/>
    </row>
    <row r="210" spans="1:6" s="365" customFormat="1" ht="15">
      <c r="A210" s="387" t="s">
        <v>755</v>
      </c>
      <c r="B210" s="367" t="s">
        <v>756</v>
      </c>
      <c r="C210" s="376"/>
      <c r="D210" s="375"/>
      <c r="E210" s="373"/>
      <c r="F210" s="370"/>
    </row>
    <row r="211" spans="1:6" s="365" customFormat="1" ht="15">
      <c r="A211" s="387" t="s">
        <v>757</v>
      </c>
      <c r="B211" s="367" t="s">
        <v>758</v>
      </c>
      <c r="C211" s="376"/>
      <c r="D211" s="375"/>
      <c r="E211" s="373"/>
      <c r="F211" s="364"/>
    </row>
    <row r="212" spans="1:6" s="365" customFormat="1" ht="15">
      <c r="A212" s="387" t="s">
        <v>759</v>
      </c>
      <c r="B212" s="367" t="s">
        <v>760</v>
      </c>
      <c r="C212" s="376" t="s">
        <v>761</v>
      </c>
      <c r="D212" s="375"/>
      <c r="E212" s="373"/>
      <c r="F212" s="370"/>
    </row>
    <row r="213" spans="1:6" s="365" customFormat="1" ht="15">
      <c r="A213" s="387" t="s">
        <v>762</v>
      </c>
      <c r="B213" s="367" t="s">
        <v>763</v>
      </c>
      <c r="C213" s="376"/>
      <c r="D213" s="375"/>
      <c r="E213" s="373"/>
      <c r="F213" s="370"/>
    </row>
    <row r="214" spans="1:6" s="365" customFormat="1" ht="15">
      <c r="A214" s="366" t="s">
        <v>764</v>
      </c>
      <c r="B214" s="367" t="s">
        <v>765</v>
      </c>
      <c r="C214" s="403"/>
      <c r="D214" s="384">
        <f>D215+D221</f>
        <v>28000</v>
      </c>
      <c r="E214" s="405"/>
      <c r="F214" s="370"/>
    </row>
    <row r="215" spans="1:6" s="365" customFormat="1" ht="15">
      <c r="A215" s="387" t="s">
        <v>766</v>
      </c>
      <c r="B215" s="367" t="s">
        <v>767</v>
      </c>
      <c r="C215" s="376"/>
      <c r="D215" s="372">
        <v>28000</v>
      </c>
      <c r="E215" s="373"/>
      <c r="F215" s="370"/>
    </row>
    <row r="216" spans="1:6" s="365" customFormat="1" ht="15">
      <c r="A216" s="388" t="s">
        <v>768</v>
      </c>
      <c r="B216" s="367" t="s">
        <v>769</v>
      </c>
      <c r="C216" s="376"/>
      <c r="D216" s="375"/>
      <c r="E216" s="373"/>
      <c r="F216" s="370"/>
    </row>
    <row r="217" spans="1:6" s="365" customFormat="1" ht="15">
      <c r="A217" s="388" t="s">
        <v>770</v>
      </c>
      <c r="B217" s="367" t="s">
        <v>771</v>
      </c>
      <c r="C217" s="376"/>
      <c r="D217" s="375"/>
      <c r="E217" s="373"/>
      <c r="F217" s="370"/>
    </row>
    <row r="218" spans="1:6" s="365" customFormat="1" ht="15">
      <c r="A218" s="388" t="s">
        <v>772</v>
      </c>
      <c r="B218" s="367" t="s">
        <v>773</v>
      </c>
      <c r="C218" s="376"/>
      <c r="D218" s="375"/>
      <c r="E218" s="373"/>
      <c r="F218" s="370"/>
    </row>
    <row r="219" spans="1:6" s="365" customFormat="1" ht="15">
      <c r="A219" s="388" t="s">
        <v>774</v>
      </c>
      <c r="B219" s="367" t="s">
        <v>775</v>
      </c>
      <c r="C219" s="376"/>
      <c r="D219" s="375"/>
      <c r="E219" s="373"/>
      <c r="F219" s="370"/>
    </row>
    <row r="220" spans="1:6" s="365" customFormat="1" ht="15">
      <c r="A220" s="388" t="s">
        <v>776</v>
      </c>
      <c r="B220" s="367" t="s">
        <v>777</v>
      </c>
      <c r="C220" s="376"/>
      <c r="D220" s="375"/>
      <c r="E220" s="373"/>
      <c r="F220" s="370"/>
    </row>
    <row r="221" spans="1:6" s="365" customFormat="1" ht="15">
      <c r="A221" s="387" t="s">
        <v>778</v>
      </c>
      <c r="B221" s="367" t="s">
        <v>779</v>
      </c>
      <c r="C221" s="376"/>
      <c r="D221" s="372">
        <f>SUM(D222:D226)</f>
        <v>0</v>
      </c>
      <c r="E221" s="373"/>
      <c r="F221" s="370"/>
    </row>
    <row r="222" spans="1:6" s="365" customFormat="1" ht="15">
      <c r="A222" s="388" t="s">
        <v>780</v>
      </c>
      <c r="B222" s="367" t="s">
        <v>781</v>
      </c>
      <c r="C222" s="376"/>
      <c r="D222" s="375"/>
      <c r="E222" s="373"/>
      <c r="F222" s="370"/>
    </row>
    <row r="223" spans="1:6" s="365" customFormat="1" ht="15">
      <c r="A223" s="388" t="s">
        <v>782</v>
      </c>
      <c r="B223" s="367" t="s">
        <v>783</v>
      </c>
      <c r="C223" s="376"/>
      <c r="D223" s="375"/>
      <c r="E223" s="373"/>
      <c r="F223" s="370"/>
    </row>
    <row r="224" spans="1:6" s="365" customFormat="1" ht="15">
      <c r="A224" s="388" t="s">
        <v>784</v>
      </c>
      <c r="B224" s="367" t="s">
        <v>785</v>
      </c>
      <c r="C224" s="376"/>
      <c r="D224" s="375"/>
      <c r="E224" s="373"/>
      <c r="F224" s="370"/>
    </row>
    <row r="225" spans="1:6" s="365" customFormat="1" ht="15">
      <c r="A225" s="388" t="s">
        <v>786</v>
      </c>
      <c r="B225" s="367" t="s">
        <v>787</v>
      </c>
      <c r="C225" s="376"/>
      <c r="D225" s="375"/>
      <c r="E225" s="373"/>
      <c r="F225" s="370"/>
    </row>
    <row r="226" spans="1:6" s="365" customFormat="1" ht="15">
      <c r="A226" s="388" t="s">
        <v>788</v>
      </c>
      <c r="B226" s="367" t="s">
        <v>789</v>
      </c>
      <c r="C226" s="376"/>
      <c r="D226" s="375"/>
      <c r="E226" s="373"/>
      <c r="F226" s="370"/>
    </row>
    <row r="227" spans="1:6" s="365" customFormat="1" ht="15">
      <c r="A227" s="366" t="s">
        <v>790</v>
      </c>
      <c r="B227" s="367" t="s">
        <v>791</v>
      </c>
      <c r="C227" s="403"/>
      <c r="D227" s="404"/>
      <c r="E227" s="405"/>
      <c r="F227" s="370"/>
    </row>
    <row r="228" spans="1:6" s="365" customFormat="1" ht="15">
      <c r="A228" s="366" t="s">
        <v>792</v>
      </c>
      <c r="B228" s="367" t="s">
        <v>793</v>
      </c>
      <c r="C228" s="403"/>
      <c r="D228" s="404"/>
      <c r="E228" s="405"/>
      <c r="F228" s="370"/>
    </row>
    <row r="229" spans="1:6" s="365" customFormat="1" ht="15">
      <c r="A229" s="366" t="s">
        <v>794</v>
      </c>
      <c r="B229" s="367" t="s">
        <v>795</v>
      </c>
      <c r="C229" s="403"/>
      <c r="D229" s="384">
        <v>857610</v>
      </c>
      <c r="E229" s="405"/>
      <c r="F229" s="370"/>
    </row>
    <row r="230" spans="1:6" s="365" customFormat="1" ht="15">
      <c r="A230" s="387" t="s">
        <v>796</v>
      </c>
      <c r="B230" s="367" t="s">
        <v>797</v>
      </c>
      <c r="C230" s="376"/>
      <c r="D230" s="375"/>
      <c r="E230" s="373"/>
      <c r="F230" s="370"/>
    </row>
    <row r="231" spans="1:6" s="365" customFormat="1" ht="15">
      <c r="A231" s="387" t="s">
        <v>798</v>
      </c>
      <c r="B231" s="367" t="s">
        <v>799</v>
      </c>
      <c r="C231" s="376"/>
      <c r="D231" s="375"/>
      <c r="E231" s="373"/>
      <c r="F231" s="370"/>
    </row>
    <row r="232" spans="1:6" s="365" customFormat="1" ht="15">
      <c r="A232" s="387" t="s">
        <v>800</v>
      </c>
      <c r="B232" s="367" t="s">
        <v>801</v>
      </c>
      <c r="C232" s="372"/>
      <c r="D232" s="372"/>
      <c r="E232" s="386"/>
      <c r="F232" s="370"/>
    </row>
    <row r="233" spans="1:6" s="365" customFormat="1" ht="15">
      <c r="A233" s="387" t="s">
        <v>802</v>
      </c>
      <c r="B233" s="367" t="s">
        <v>803</v>
      </c>
      <c r="C233" s="372"/>
      <c r="D233" s="372"/>
      <c r="E233" s="386"/>
      <c r="F233" s="370"/>
    </row>
    <row r="234" spans="1:6" s="365" customFormat="1" ht="15">
      <c r="A234" s="378" t="s">
        <v>804</v>
      </c>
      <c r="B234" s="367" t="s">
        <v>805</v>
      </c>
      <c r="C234" s="376"/>
      <c r="D234" s="379">
        <f>SUM(D235:D239)</f>
        <v>294011</v>
      </c>
      <c r="E234" s="373"/>
      <c r="F234" s="364"/>
    </row>
    <row r="235" spans="1:6" s="365" customFormat="1" ht="15">
      <c r="A235" s="366" t="s">
        <v>806</v>
      </c>
      <c r="B235" s="367" t="s">
        <v>807</v>
      </c>
      <c r="C235" s="403"/>
      <c r="D235" s="404"/>
      <c r="E235" s="405"/>
      <c r="F235" s="370"/>
    </row>
    <row r="236" spans="1:6" s="365" customFormat="1" ht="15">
      <c r="A236" s="366" t="s">
        <v>808</v>
      </c>
      <c r="B236" s="367" t="s">
        <v>809</v>
      </c>
      <c r="C236" s="403"/>
      <c r="D236" s="404"/>
      <c r="E236" s="405"/>
      <c r="F236" s="370"/>
    </row>
    <row r="237" spans="1:6" s="365" customFormat="1" ht="15">
      <c r="A237" s="366" t="s">
        <v>810</v>
      </c>
      <c r="B237" s="367" t="s">
        <v>811</v>
      </c>
      <c r="C237" s="403"/>
      <c r="D237" s="404"/>
      <c r="E237" s="405"/>
      <c r="F237" s="370"/>
    </row>
    <row r="238" spans="1:6" s="365" customFormat="1" ht="15">
      <c r="A238" s="366" t="s">
        <v>812</v>
      </c>
      <c r="B238" s="367" t="s">
        <v>813</v>
      </c>
      <c r="C238" s="403"/>
      <c r="D238" s="404">
        <v>294011</v>
      </c>
      <c r="E238" s="405"/>
      <c r="F238" s="370"/>
    </row>
    <row r="239" spans="1:6" s="365" customFormat="1" ht="15">
      <c r="A239" s="366" t="s">
        <v>814</v>
      </c>
      <c r="B239" s="367" t="s">
        <v>815</v>
      </c>
      <c r="C239" s="403"/>
      <c r="D239" s="404"/>
      <c r="E239" s="405"/>
      <c r="F239" s="370"/>
    </row>
    <row r="240" spans="1:6" s="365" customFormat="1" ht="15">
      <c r="A240" s="378" t="s">
        <v>816</v>
      </c>
      <c r="B240" s="367" t="s">
        <v>817</v>
      </c>
      <c r="C240" s="376"/>
      <c r="D240" s="379">
        <f>D241+D248+D257</f>
        <v>2663979</v>
      </c>
      <c r="E240" s="373"/>
      <c r="F240" s="364"/>
    </row>
    <row r="241" spans="1:6" s="365" customFormat="1" ht="15">
      <c r="A241" s="366" t="s">
        <v>818</v>
      </c>
      <c r="B241" s="367" t="s">
        <v>819</v>
      </c>
      <c r="C241" s="403"/>
      <c r="D241" s="384">
        <f>D242+D245+D246+D247</f>
        <v>335</v>
      </c>
      <c r="E241" s="405"/>
      <c r="F241" s="370"/>
    </row>
    <row r="242" spans="1:6" s="365" customFormat="1" ht="15">
      <c r="A242" s="371" t="s">
        <v>820</v>
      </c>
      <c r="B242" s="367" t="s">
        <v>821</v>
      </c>
      <c r="C242" s="376"/>
      <c r="D242" s="372">
        <f>SUM(D243:D244)</f>
        <v>335</v>
      </c>
      <c r="E242" s="373"/>
      <c r="F242" s="370"/>
    </row>
    <row r="243" spans="1:6" s="365" customFormat="1" ht="15">
      <c r="A243" s="387" t="s">
        <v>822</v>
      </c>
      <c r="B243" s="367" t="s">
        <v>823</v>
      </c>
      <c r="C243" s="376"/>
      <c r="D243" s="375">
        <v>335</v>
      </c>
      <c r="E243" s="373"/>
      <c r="F243" s="370"/>
    </row>
    <row r="244" spans="1:6" s="365" customFormat="1" ht="15">
      <c r="A244" s="387" t="s">
        <v>824</v>
      </c>
      <c r="B244" s="367" t="s">
        <v>825</v>
      </c>
      <c r="C244" s="376"/>
      <c r="D244" s="375"/>
      <c r="E244" s="373"/>
      <c r="F244" s="370"/>
    </row>
    <row r="245" spans="1:6" s="365" customFormat="1" ht="15">
      <c r="A245" s="371" t="s">
        <v>826</v>
      </c>
      <c r="B245" s="367" t="s">
        <v>827</v>
      </c>
      <c r="C245" s="376"/>
      <c r="D245" s="375"/>
      <c r="E245" s="373"/>
      <c r="F245" s="370"/>
    </row>
    <row r="246" spans="1:6" s="365" customFormat="1" ht="15">
      <c r="A246" s="371" t="s">
        <v>828</v>
      </c>
      <c r="B246" s="367" t="s">
        <v>829</v>
      </c>
      <c r="C246" s="376"/>
      <c r="D246" s="375"/>
      <c r="E246" s="373"/>
      <c r="F246" s="370"/>
    </row>
    <row r="247" spans="1:6" s="365" customFormat="1" ht="15">
      <c r="A247" s="371" t="s">
        <v>830</v>
      </c>
      <c r="B247" s="367" t="s">
        <v>831</v>
      </c>
      <c r="C247" s="376"/>
      <c r="D247" s="375"/>
      <c r="E247" s="373"/>
      <c r="F247" s="370"/>
    </row>
    <row r="248" spans="1:6" s="365" customFormat="1" ht="15">
      <c r="A248" s="366" t="s">
        <v>832</v>
      </c>
      <c r="B248" s="367" t="s">
        <v>833</v>
      </c>
      <c r="C248" s="403"/>
      <c r="D248" s="384">
        <f>SUM(D249:D256)</f>
        <v>2649162</v>
      </c>
      <c r="E248" s="405"/>
      <c r="F248" s="370"/>
    </row>
    <row r="249" spans="1:6" s="365" customFormat="1" ht="15">
      <c r="A249" s="371" t="s">
        <v>834</v>
      </c>
      <c r="B249" s="367" t="s">
        <v>835</v>
      </c>
      <c r="C249" s="376"/>
      <c r="D249" s="375">
        <v>2649162</v>
      </c>
      <c r="E249" s="373"/>
      <c r="F249" s="370"/>
    </row>
    <row r="250" spans="1:6" s="365" customFormat="1" ht="15">
      <c r="A250" s="371" t="s">
        <v>836</v>
      </c>
      <c r="B250" s="367" t="s">
        <v>837</v>
      </c>
      <c r="C250" s="376"/>
      <c r="D250" s="375"/>
      <c r="E250" s="373"/>
      <c r="F250" s="370"/>
    </row>
    <row r="251" spans="1:6" s="365" customFormat="1" ht="15">
      <c r="A251" s="371" t="s">
        <v>838</v>
      </c>
      <c r="B251" s="367" t="s">
        <v>839</v>
      </c>
      <c r="C251" s="376"/>
      <c r="D251" s="375"/>
      <c r="E251" s="373"/>
      <c r="F251" s="370"/>
    </row>
    <row r="252" spans="1:6" s="365" customFormat="1" ht="15">
      <c r="A252" s="371" t="s">
        <v>840</v>
      </c>
      <c r="B252" s="367" t="s">
        <v>841</v>
      </c>
      <c r="C252" s="376"/>
      <c r="D252" s="375"/>
      <c r="E252" s="373"/>
      <c r="F252" s="370"/>
    </row>
    <row r="253" spans="1:6" s="365" customFormat="1" ht="15">
      <c r="A253" s="371" t="s">
        <v>842</v>
      </c>
      <c r="B253" s="367" t="s">
        <v>843</v>
      </c>
      <c r="C253" s="376"/>
      <c r="D253" s="375"/>
      <c r="E253" s="373"/>
      <c r="F253" s="370"/>
    </row>
    <row r="254" spans="1:6" s="365" customFormat="1" ht="15">
      <c r="A254" s="371" t="s">
        <v>844</v>
      </c>
      <c r="B254" s="367" t="s">
        <v>845</v>
      </c>
      <c r="C254" s="376"/>
      <c r="D254" s="375"/>
      <c r="E254" s="373"/>
      <c r="F254" s="370"/>
    </row>
    <row r="255" spans="1:6" s="365" customFormat="1" ht="15">
      <c r="A255" s="371" t="s">
        <v>846</v>
      </c>
      <c r="B255" s="367" t="s">
        <v>847</v>
      </c>
      <c r="C255" s="376"/>
      <c r="D255" s="375"/>
      <c r="E255" s="373"/>
      <c r="F255" s="370"/>
    </row>
    <row r="256" spans="1:6" s="365" customFormat="1" ht="15">
      <c r="A256" s="371" t="s">
        <v>848</v>
      </c>
      <c r="B256" s="367" t="s">
        <v>849</v>
      </c>
      <c r="C256" s="376"/>
      <c r="D256" s="375"/>
      <c r="E256" s="373"/>
      <c r="F256" s="370"/>
    </row>
    <row r="257" spans="1:6" s="365" customFormat="1" ht="15">
      <c r="A257" s="366" t="s">
        <v>850</v>
      </c>
      <c r="B257" s="367" t="s">
        <v>851</v>
      </c>
      <c r="C257" s="403"/>
      <c r="D257" s="419">
        <f>SUM(D258:D265)</f>
        <v>14482</v>
      </c>
      <c r="E257" s="405"/>
      <c r="F257" s="370"/>
    </row>
    <row r="258" spans="1:6" s="365" customFormat="1" ht="15">
      <c r="A258" s="371" t="s">
        <v>852</v>
      </c>
      <c r="B258" s="367" t="s">
        <v>853</v>
      </c>
      <c r="C258" s="376"/>
      <c r="D258" s="375"/>
      <c r="E258" s="373"/>
      <c r="F258" s="370"/>
    </row>
    <row r="259" spans="1:6" s="365" customFormat="1" ht="15">
      <c r="A259" s="371" t="s">
        <v>854</v>
      </c>
      <c r="B259" s="367" t="s">
        <v>855</v>
      </c>
      <c r="C259" s="376"/>
      <c r="D259" s="375"/>
      <c r="E259" s="373"/>
      <c r="F259" s="370"/>
    </row>
    <row r="260" spans="1:6" s="365" customFormat="1" ht="15">
      <c r="A260" s="371" t="s">
        <v>856</v>
      </c>
      <c r="B260" s="367" t="s">
        <v>857</v>
      </c>
      <c r="C260" s="376"/>
      <c r="D260" s="375"/>
      <c r="E260" s="373"/>
      <c r="F260" s="370"/>
    </row>
    <row r="261" spans="1:6" s="365" customFormat="1" ht="15">
      <c r="A261" s="371" t="s">
        <v>858</v>
      </c>
      <c r="B261" s="367" t="s">
        <v>859</v>
      </c>
      <c r="C261" s="376"/>
      <c r="D261" s="375"/>
      <c r="E261" s="373"/>
      <c r="F261" s="370"/>
    </row>
    <row r="262" spans="1:6" s="365" customFormat="1" ht="15">
      <c r="A262" s="371" t="s">
        <v>860</v>
      </c>
      <c r="B262" s="367" t="s">
        <v>861</v>
      </c>
      <c r="C262" s="376"/>
      <c r="D262" s="375"/>
      <c r="E262" s="373"/>
      <c r="F262" s="370"/>
    </row>
    <row r="263" spans="1:6" s="365" customFormat="1" ht="15">
      <c r="A263" s="371" t="s">
        <v>862</v>
      </c>
      <c r="B263" s="367" t="s">
        <v>863</v>
      </c>
      <c r="C263" s="376"/>
      <c r="D263" s="375"/>
      <c r="E263" s="373"/>
      <c r="F263" s="370"/>
    </row>
    <row r="264" spans="1:6" s="365" customFormat="1" ht="15">
      <c r="A264" s="371" t="s">
        <v>864</v>
      </c>
      <c r="B264" s="367" t="s">
        <v>865</v>
      </c>
      <c r="C264" s="376"/>
      <c r="D264" s="375"/>
      <c r="E264" s="373"/>
      <c r="F264" s="370"/>
    </row>
    <row r="265" spans="1:6" s="365" customFormat="1" ht="15">
      <c r="A265" s="371" t="s">
        <v>866</v>
      </c>
      <c r="B265" s="367" t="s">
        <v>867</v>
      </c>
      <c r="C265" s="376"/>
      <c r="D265" s="375">
        <v>14482</v>
      </c>
      <c r="E265" s="373"/>
      <c r="F265" s="370"/>
    </row>
    <row r="266" spans="1:6" s="365" customFormat="1" ht="15">
      <c r="A266" s="366" t="s">
        <v>868</v>
      </c>
      <c r="B266" s="367" t="s">
        <v>869</v>
      </c>
      <c r="C266" s="403"/>
      <c r="D266" s="404">
        <v>995619</v>
      </c>
      <c r="E266" s="405"/>
      <c r="F266" s="364"/>
    </row>
    <row r="267" spans="1:6" s="365" customFormat="1" ht="15">
      <c r="A267" s="378" t="s">
        <v>870</v>
      </c>
      <c r="B267" s="367" t="s">
        <v>871</v>
      </c>
      <c r="C267" s="420"/>
      <c r="D267" s="379">
        <f>D184+D207+D234+D240+D266</f>
        <v>5447975</v>
      </c>
      <c r="E267" s="369"/>
      <c r="F267" s="364"/>
    </row>
    <row r="268" spans="1:6" s="365" customFormat="1" ht="15.75" thickBot="1">
      <c r="A268" s="421" t="s">
        <v>872</v>
      </c>
      <c r="B268" s="422" t="s">
        <v>873</v>
      </c>
      <c r="C268" s="423"/>
      <c r="D268" s="424">
        <f>D183+D267</f>
        <v>77840265</v>
      </c>
      <c r="E268" s="425"/>
      <c r="F268" s="381"/>
    </row>
    <row r="269" spans="1:6" ht="15">
      <c r="A269" s="426"/>
      <c r="B269" s="427"/>
      <c r="C269" s="428"/>
      <c r="D269" s="428"/>
      <c r="E269" s="429"/>
      <c r="F269" s="430"/>
    </row>
    <row r="270" spans="1:5" ht="15">
      <c r="A270" s="431"/>
      <c r="B270" s="427"/>
      <c r="C270" s="428"/>
      <c r="D270" s="428"/>
      <c r="E270" s="429"/>
    </row>
    <row r="271" spans="1:5" ht="15">
      <c r="A271" s="427"/>
      <c r="B271" s="427"/>
      <c r="C271" s="428"/>
      <c r="D271" s="428"/>
      <c r="E271" s="429"/>
    </row>
    <row r="272" spans="1:5" ht="15">
      <c r="A272" s="530"/>
      <c r="B272" s="530"/>
      <c r="C272" s="530"/>
      <c r="D272" s="530"/>
      <c r="E272" s="530"/>
    </row>
    <row r="273" spans="1:5" ht="15">
      <c r="A273" s="530"/>
      <c r="B273" s="530"/>
      <c r="C273" s="530"/>
      <c r="D273" s="530"/>
      <c r="E273" s="530"/>
    </row>
  </sheetData>
  <sheetProtection/>
  <mergeCells count="9">
    <mergeCell ref="A272:E272"/>
    <mergeCell ref="A273:E273"/>
    <mergeCell ref="C1:E1"/>
    <mergeCell ref="A2:A4"/>
    <mergeCell ref="B2:B4"/>
    <mergeCell ref="C2:C3"/>
    <mergeCell ref="D2:D3"/>
    <mergeCell ref="C4:E4"/>
    <mergeCell ref="E2:E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85" r:id="rId1"/>
  <headerFooter alignWithMargins="0">
    <oddHeader>&amp;LSzolnok Város Önkormányzata&amp;CVAGYONKIMUTATÁS
a könyvviteli mérlegben értékkel szereplő eszközökről 2009. év&amp;R18. számú melléklet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E38"/>
  <sheetViews>
    <sheetView workbookViewId="0" topLeftCell="A3">
      <selection activeCell="I41" sqref="I41"/>
    </sheetView>
  </sheetViews>
  <sheetFormatPr defaultColWidth="9.140625" defaultRowHeight="12.75"/>
  <cols>
    <col min="1" max="1" width="61.00390625" style="433" customWidth="1"/>
    <col min="2" max="2" width="5.28125" style="460" customWidth="1"/>
    <col min="3" max="3" width="15.421875" style="434" customWidth="1"/>
    <col min="4" max="16384" width="8.00390625" style="434" customWidth="1"/>
  </cols>
  <sheetData>
    <row r="2" spans="2:3" ht="13.5" thickBot="1">
      <c r="B2" s="544" t="s">
        <v>370</v>
      </c>
      <c r="C2" s="544"/>
    </row>
    <row r="3" spans="1:3" s="435" customFormat="1" ht="31.5" customHeight="1">
      <c r="A3" s="548" t="s">
        <v>158</v>
      </c>
      <c r="B3" s="546" t="s">
        <v>371</v>
      </c>
      <c r="C3" s="550" t="s">
        <v>874</v>
      </c>
    </row>
    <row r="4" spans="1:3" s="435" customFormat="1" ht="12.75">
      <c r="A4" s="549"/>
      <c r="B4" s="547"/>
      <c r="C4" s="551"/>
    </row>
    <row r="5" spans="1:3" s="439" customFormat="1" ht="13.5" thickBot="1">
      <c r="A5" s="436" t="s">
        <v>875</v>
      </c>
      <c r="B5" s="437" t="s">
        <v>876</v>
      </c>
      <c r="C5" s="438" t="s">
        <v>877</v>
      </c>
    </row>
    <row r="6" spans="1:3" ht="15.75" customHeight="1">
      <c r="A6" s="440" t="s">
        <v>878</v>
      </c>
      <c r="B6" s="441" t="s">
        <v>176</v>
      </c>
      <c r="C6" s="442">
        <v>3310835</v>
      </c>
    </row>
    <row r="7" spans="1:3" ht="15.75" customHeight="1">
      <c r="A7" s="443" t="s">
        <v>879</v>
      </c>
      <c r="B7" s="444" t="s">
        <v>177</v>
      </c>
      <c r="C7" s="445">
        <v>53704258</v>
      </c>
    </row>
    <row r="8" spans="1:3" ht="15.75" customHeight="1">
      <c r="A8" s="443" t="s">
        <v>880</v>
      </c>
      <c r="B8" s="444" t="s">
        <v>179</v>
      </c>
      <c r="C8" s="445"/>
    </row>
    <row r="9" spans="1:3" ht="15.75" customHeight="1">
      <c r="A9" s="446" t="s">
        <v>881</v>
      </c>
      <c r="B9" s="444" t="s">
        <v>181</v>
      </c>
      <c r="C9" s="447">
        <f>SUM(C6:C8)</f>
        <v>57015093</v>
      </c>
    </row>
    <row r="10" spans="1:3" ht="15.75" customHeight="1">
      <c r="A10" s="446" t="s">
        <v>882</v>
      </c>
      <c r="B10" s="444" t="s">
        <v>183</v>
      </c>
      <c r="C10" s="447">
        <f>SUM(C11:C12)</f>
        <v>1075942</v>
      </c>
    </row>
    <row r="11" spans="1:3" ht="15.75" customHeight="1">
      <c r="A11" s="443" t="s">
        <v>883</v>
      </c>
      <c r="B11" s="444" t="s">
        <v>185</v>
      </c>
      <c r="C11" s="445">
        <v>1075942</v>
      </c>
    </row>
    <row r="12" spans="1:3" ht="15.75" customHeight="1">
      <c r="A12" s="443" t="s">
        <v>884</v>
      </c>
      <c r="B12" s="444" t="s">
        <v>186</v>
      </c>
      <c r="C12" s="445"/>
    </row>
    <row r="13" spans="1:3" ht="15.75" customHeight="1">
      <c r="A13" s="446" t="s">
        <v>885</v>
      </c>
      <c r="B13" s="444" t="s">
        <v>187</v>
      </c>
      <c r="C13" s="447">
        <f>SUM(C14:C15)</f>
        <v>0</v>
      </c>
    </row>
    <row r="14" spans="1:3" s="448" customFormat="1" ht="15.75" customHeight="1">
      <c r="A14" s="443" t="s">
        <v>886</v>
      </c>
      <c r="B14" s="444" t="s">
        <v>189</v>
      </c>
      <c r="C14" s="445"/>
    </row>
    <row r="15" spans="1:3" ht="15.75" customHeight="1">
      <c r="A15" s="443" t="s">
        <v>887</v>
      </c>
      <c r="B15" s="444" t="s">
        <v>28</v>
      </c>
      <c r="C15" s="445"/>
    </row>
    <row r="16" spans="1:3" ht="15.75" customHeight="1">
      <c r="A16" s="449" t="s">
        <v>888</v>
      </c>
      <c r="B16" s="444" t="s">
        <v>30</v>
      </c>
      <c r="C16" s="447">
        <f>C10+C13</f>
        <v>1075942</v>
      </c>
    </row>
    <row r="17" spans="1:3" ht="15.75" customHeight="1">
      <c r="A17" s="450" t="s">
        <v>889</v>
      </c>
      <c r="B17" s="444" t="s">
        <v>32</v>
      </c>
      <c r="C17" s="451">
        <f>SUM(C18:C21)</f>
        <v>14564070</v>
      </c>
    </row>
    <row r="18" spans="1:3" ht="15.75" customHeight="1">
      <c r="A18" s="443" t="s">
        <v>890</v>
      </c>
      <c r="B18" s="444" t="s">
        <v>35</v>
      </c>
      <c r="C18" s="445"/>
    </row>
    <row r="19" spans="1:3" ht="15.75" customHeight="1">
      <c r="A19" s="443" t="s">
        <v>891</v>
      </c>
      <c r="B19" s="444" t="s">
        <v>37</v>
      </c>
      <c r="C19" s="445">
        <v>11649278</v>
      </c>
    </row>
    <row r="20" spans="1:3" ht="15.75" customHeight="1">
      <c r="A20" s="443" t="s">
        <v>892</v>
      </c>
      <c r="B20" s="444" t="s">
        <v>39</v>
      </c>
      <c r="C20" s="445">
        <v>2913458</v>
      </c>
    </row>
    <row r="21" spans="1:4" ht="15.75" customHeight="1">
      <c r="A21" s="443" t="s">
        <v>893</v>
      </c>
      <c r="B21" s="444" t="s">
        <v>41</v>
      </c>
      <c r="C21" s="445">
        <v>1334</v>
      </c>
      <c r="D21" s="452"/>
    </row>
    <row r="22" spans="1:3" ht="15.75" customHeight="1">
      <c r="A22" s="450" t="s">
        <v>894</v>
      </c>
      <c r="B22" s="444" t="s">
        <v>43</v>
      </c>
      <c r="C22" s="451">
        <f>C23+C24+C25+C26</f>
        <v>4508865</v>
      </c>
    </row>
    <row r="23" spans="1:3" ht="15.75" customHeight="1">
      <c r="A23" s="443" t="s">
        <v>895</v>
      </c>
      <c r="B23" s="444" t="s">
        <v>45</v>
      </c>
      <c r="C23" s="445"/>
    </row>
    <row r="24" spans="1:3" ht="15.75" customHeight="1">
      <c r="A24" s="443" t="s">
        <v>896</v>
      </c>
      <c r="B24" s="444" t="s">
        <v>47</v>
      </c>
      <c r="C24" s="445">
        <v>2201184</v>
      </c>
    </row>
    <row r="25" spans="1:3" ht="15.75" customHeight="1">
      <c r="A25" s="443" t="s">
        <v>897</v>
      </c>
      <c r="B25" s="444" t="s">
        <v>49</v>
      </c>
      <c r="C25" s="445">
        <v>996538</v>
      </c>
    </row>
    <row r="26" spans="1:3" ht="15.75" customHeight="1">
      <c r="A26" s="443" t="s">
        <v>898</v>
      </c>
      <c r="B26" s="444" t="s">
        <v>51</v>
      </c>
      <c r="C26" s="445">
        <v>1311143</v>
      </c>
    </row>
    <row r="27" spans="1:3" ht="15.75" customHeight="1">
      <c r="A27" s="453" t="s">
        <v>899</v>
      </c>
      <c r="B27" s="444" t="s">
        <v>53</v>
      </c>
      <c r="C27" s="445">
        <v>83688</v>
      </c>
    </row>
    <row r="28" spans="1:3" ht="15.75" customHeight="1">
      <c r="A28" s="454" t="s">
        <v>900</v>
      </c>
      <c r="B28" s="444" t="s">
        <v>55</v>
      </c>
      <c r="C28" s="445"/>
    </row>
    <row r="29" spans="1:3" ht="15.75" customHeight="1">
      <c r="A29" s="454" t="s">
        <v>901</v>
      </c>
      <c r="B29" s="444" t="s">
        <v>57</v>
      </c>
      <c r="C29" s="445"/>
    </row>
    <row r="30" spans="1:3" ht="15.75" customHeight="1">
      <c r="A30" s="454" t="s">
        <v>902</v>
      </c>
      <c r="B30" s="444" t="s">
        <v>202</v>
      </c>
      <c r="C30" s="445">
        <v>1227455</v>
      </c>
    </row>
    <row r="31" spans="1:3" ht="15.75" customHeight="1">
      <c r="A31" s="450" t="s">
        <v>903</v>
      </c>
      <c r="B31" s="444" t="s">
        <v>401</v>
      </c>
      <c r="C31" s="455">
        <v>676295</v>
      </c>
    </row>
    <row r="32" spans="1:3" ht="15.75" customHeight="1">
      <c r="A32" s="449" t="s">
        <v>904</v>
      </c>
      <c r="B32" s="444" t="s">
        <v>403</v>
      </c>
      <c r="C32" s="447">
        <f>C17+C22+C31</f>
        <v>19749230</v>
      </c>
    </row>
    <row r="33" spans="1:3" ht="15.75" customHeight="1" thickBot="1">
      <c r="A33" s="456" t="s">
        <v>905</v>
      </c>
      <c r="B33" s="457" t="s">
        <v>405</v>
      </c>
      <c r="C33" s="458">
        <f>C9+C16+C32</f>
        <v>77840265</v>
      </c>
    </row>
    <row r="34" spans="1:5" ht="15">
      <c r="A34" s="426"/>
      <c r="B34" s="427"/>
      <c r="C34" s="428"/>
      <c r="D34" s="428"/>
      <c r="E34" s="428"/>
    </row>
    <row r="35" spans="1:5" ht="15">
      <c r="A35" s="426"/>
      <c r="B35" s="427"/>
      <c r="C35" s="428"/>
      <c r="D35" s="428"/>
      <c r="E35" s="428"/>
    </row>
    <row r="36" spans="1:5" ht="15">
      <c r="A36" s="427"/>
      <c r="B36" s="427"/>
      <c r="C36" s="428"/>
      <c r="D36" s="428"/>
      <c r="E36" s="428"/>
    </row>
    <row r="37" spans="1:5" ht="15">
      <c r="A37" s="545"/>
      <c r="B37" s="545"/>
      <c r="C37" s="545"/>
      <c r="D37" s="459"/>
      <c r="E37" s="459"/>
    </row>
    <row r="38" spans="1:5" ht="15">
      <c r="A38" s="545"/>
      <c r="B38" s="545"/>
      <c r="C38" s="545"/>
      <c r="D38" s="459"/>
      <c r="E38" s="459"/>
    </row>
  </sheetData>
  <sheetProtection/>
  <mergeCells count="6">
    <mergeCell ref="B2:C2"/>
    <mergeCell ref="A37:C37"/>
    <mergeCell ref="A38:C38"/>
    <mergeCell ref="B3:B4"/>
    <mergeCell ref="A3:A4"/>
    <mergeCell ref="C3:C4"/>
  </mergeCells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&amp;LSzolnok Város Önkormányzata&amp;CVAGYONKIMUTATÁS
a könyviteli mérlegben értékkel szereplő eszközökről 2009. év&amp;R18.a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G17" sqref="G17"/>
    </sheetView>
  </sheetViews>
  <sheetFormatPr defaultColWidth="9.140625" defaultRowHeight="12.75"/>
  <cols>
    <col min="1" max="1" width="42.57421875" style="353" customWidth="1"/>
    <col min="2" max="2" width="5.8515625" style="353" customWidth="1"/>
    <col min="3" max="3" width="14.7109375" style="353" customWidth="1"/>
    <col min="4" max="4" width="16.421875" style="353" customWidth="1"/>
    <col min="5" max="16384" width="10.28125" style="353" customWidth="1"/>
  </cols>
  <sheetData>
    <row r="1" ht="15.75" thickBot="1"/>
    <row r="2" spans="1:4" ht="43.5" customHeight="1" thickBot="1">
      <c r="A2" s="461" t="s">
        <v>61</v>
      </c>
      <c r="B2" s="462" t="s">
        <v>371</v>
      </c>
      <c r="C2" s="463" t="s">
        <v>906</v>
      </c>
      <c r="D2" s="464" t="s">
        <v>907</v>
      </c>
    </row>
    <row r="3" spans="1:4" ht="15.75" customHeight="1">
      <c r="A3" s="465" t="s">
        <v>908</v>
      </c>
      <c r="B3" s="466" t="s">
        <v>10</v>
      </c>
      <c r="C3" s="467">
        <v>101</v>
      </c>
      <c r="D3" s="468">
        <v>136655</v>
      </c>
    </row>
    <row r="4" spans="1:4" ht="15.75" customHeight="1">
      <c r="A4" s="469" t="s">
        <v>909</v>
      </c>
      <c r="B4" s="470" t="s">
        <v>12</v>
      </c>
      <c r="C4" s="471"/>
      <c r="D4" s="472"/>
    </row>
    <row r="5" spans="1:4" ht="15.75" customHeight="1">
      <c r="A5" s="469" t="s">
        <v>910</v>
      </c>
      <c r="B5" s="470" t="s">
        <v>14</v>
      </c>
      <c r="C5" s="471"/>
      <c r="D5" s="472"/>
    </row>
    <row r="6" spans="1:4" ht="15.75" customHeight="1">
      <c r="A6" s="469" t="s">
        <v>911</v>
      </c>
      <c r="B6" s="470" t="s">
        <v>16</v>
      </c>
      <c r="C6" s="471"/>
      <c r="D6" s="472"/>
    </row>
    <row r="7" spans="1:4" ht="15.75" customHeight="1">
      <c r="A7" s="469" t="s">
        <v>912</v>
      </c>
      <c r="B7" s="470" t="s">
        <v>18</v>
      </c>
      <c r="C7" s="471"/>
      <c r="D7" s="472"/>
    </row>
    <row r="8" spans="1:4" ht="15.75" customHeight="1">
      <c r="A8" s="469" t="s">
        <v>913</v>
      </c>
      <c r="B8" s="470" t="s">
        <v>20</v>
      </c>
      <c r="C8" s="471"/>
      <c r="D8" s="472"/>
    </row>
    <row r="9" spans="1:4" ht="15.75" customHeight="1">
      <c r="A9" s="469" t="s">
        <v>914</v>
      </c>
      <c r="B9" s="470" t="s">
        <v>22</v>
      </c>
      <c r="C9" s="471"/>
      <c r="D9" s="472"/>
    </row>
    <row r="10" spans="1:4" ht="15.75" customHeight="1">
      <c r="A10" s="469" t="s">
        <v>915</v>
      </c>
      <c r="B10" s="470" t="s">
        <v>24</v>
      </c>
      <c r="C10" s="471"/>
      <c r="D10" s="472"/>
    </row>
    <row r="11" spans="1:4" ht="15.75" customHeight="1">
      <c r="A11" s="473"/>
      <c r="B11" s="470" t="s">
        <v>26</v>
      </c>
      <c r="C11" s="471"/>
      <c r="D11" s="472"/>
    </row>
    <row r="12" spans="1:4" ht="15.75" customHeight="1">
      <c r="A12" s="473"/>
      <c r="B12" s="470" t="s">
        <v>28</v>
      </c>
      <c r="C12" s="471"/>
      <c r="D12" s="472"/>
    </row>
    <row r="13" spans="1:4" ht="15.75" customHeight="1">
      <c r="A13" s="473"/>
      <c r="B13" s="470" t="s">
        <v>30</v>
      </c>
      <c r="C13" s="471"/>
      <c r="D13" s="472"/>
    </row>
    <row r="14" spans="1:4" ht="15.75" customHeight="1">
      <c r="A14" s="473"/>
      <c r="B14" s="470" t="s">
        <v>32</v>
      </c>
      <c r="C14" s="471"/>
      <c r="D14" s="472"/>
    </row>
    <row r="15" spans="1:4" ht="15.75" customHeight="1">
      <c r="A15" s="473"/>
      <c r="B15" s="470" t="s">
        <v>35</v>
      </c>
      <c r="C15" s="471"/>
      <c r="D15" s="472"/>
    </row>
    <row r="16" spans="1:4" ht="15.75" customHeight="1">
      <c r="A16" s="473"/>
      <c r="B16" s="470" t="s">
        <v>37</v>
      </c>
      <c r="C16" s="471"/>
      <c r="D16" s="472"/>
    </row>
    <row r="17" spans="1:4" ht="15.75" customHeight="1">
      <c r="A17" s="473"/>
      <c r="B17" s="470" t="s">
        <v>39</v>
      </c>
      <c r="C17" s="471"/>
      <c r="D17" s="472"/>
    </row>
    <row r="18" spans="1:4" ht="15.75" customHeight="1">
      <c r="A18" s="473"/>
      <c r="B18" s="470" t="s">
        <v>41</v>
      </c>
      <c r="C18" s="471"/>
      <c r="D18" s="472"/>
    </row>
    <row r="19" spans="1:4" ht="15.75" customHeight="1">
      <c r="A19" s="473"/>
      <c r="B19" s="470" t="s">
        <v>43</v>
      </c>
      <c r="C19" s="471"/>
      <c r="D19" s="472"/>
    </row>
    <row r="20" spans="1:4" ht="15.75" customHeight="1">
      <c r="A20" s="473"/>
      <c r="B20" s="470" t="s">
        <v>45</v>
      </c>
      <c r="C20" s="471"/>
      <c r="D20" s="472"/>
    </row>
    <row r="21" spans="1:4" ht="15.75" customHeight="1">
      <c r="A21" s="473"/>
      <c r="B21" s="470" t="s">
        <v>47</v>
      </c>
      <c r="C21" s="471"/>
      <c r="D21" s="472"/>
    </row>
    <row r="22" spans="1:4" ht="15.75" customHeight="1">
      <c r="A22" s="473"/>
      <c r="B22" s="470" t="s">
        <v>49</v>
      </c>
      <c r="C22" s="471"/>
      <c r="D22" s="472"/>
    </row>
    <row r="23" spans="1:4" ht="15.75" customHeight="1">
      <c r="A23" s="473"/>
      <c r="B23" s="470" t="s">
        <v>51</v>
      </c>
      <c r="C23" s="471"/>
      <c r="D23" s="472"/>
    </row>
    <row r="24" spans="1:4" ht="15.75" customHeight="1">
      <c r="A24" s="473"/>
      <c r="B24" s="470" t="s">
        <v>53</v>
      </c>
      <c r="C24" s="471"/>
      <c r="D24" s="472"/>
    </row>
    <row r="25" spans="1:4" ht="15.75" customHeight="1">
      <c r="A25" s="473"/>
      <c r="B25" s="470" t="s">
        <v>55</v>
      </c>
      <c r="C25" s="471"/>
      <c r="D25" s="472"/>
    </row>
    <row r="26" spans="1:4" ht="15.75" customHeight="1">
      <c r="A26" s="473"/>
      <c r="B26" s="470" t="s">
        <v>57</v>
      </c>
      <c r="C26" s="471"/>
      <c r="D26" s="472"/>
    </row>
    <row r="27" spans="1:4" ht="15.75" customHeight="1">
      <c r="A27" s="473"/>
      <c r="B27" s="470" t="s">
        <v>202</v>
      </c>
      <c r="C27" s="471"/>
      <c r="D27" s="472"/>
    </row>
    <row r="28" spans="1:4" ht="15.75" customHeight="1">
      <c r="A28" s="473"/>
      <c r="B28" s="470" t="s">
        <v>401</v>
      </c>
      <c r="C28" s="471"/>
      <c r="D28" s="472"/>
    </row>
    <row r="29" spans="1:4" ht="15.75" customHeight="1">
      <c r="A29" s="473"/>
      <c r="B29" s="470" t="s">
        <v>403</v>
      </c>
      <c r="C29" s="471"/>
      <c r="D29" s="472"/>
    </row>
    <row r="30" spans="1:4" ht="15.75" customHeight="1">
      <c r="A30" s="473"/>
      <c r="B30" s="470" t="s">
        <v>405</v>
      </c>
      <c r="C30" s="471"/>
      <c r="D30" s="472"/>
    </row>
    <row r="31" spans="1:4" ht="15.75" customHeight="1">
      <c r="A31" s="473"/>
      <c r="B31" s="470" t="s">
        <v>407</v>
      </c>
      <c r="C31" s="471"/>
      <c r="D31" s="472"/>
    </row>
    <row r="32" spans="1:4" ht="15.75" customHeight="1">
      <c r="A32" s="473"/>
      <c r="B32" s="470" t="s">
        <v>409</v>
      </c>
      <c r="C32" s="471"/>
      <c r="D32" s="472"/>
    </row>
    <row r="33" spans="1:4" ht="15.75" customHeight="1">
      <c r="A33" s="473"/>
      <c r="B33" s="470" t="s">
        <v>411</v>
      </c>
      <c r="C33" s="471"/>
      <c r="D33" s="472"/>
    </row>
    <row r="34" spans="1:4" ht="15.75" customHeight="1">
      <c r="A34" s="473"/>
      <c r="B34" s="470" t="s">
        <v>413</v>
      </c>
      <c r="C34" s="471"/>
      <c r="D34" s="472"/>
    </row>
    <row r="35" spans="1:4" ht="15.75" customHeight="1" thickBot="1">
      <c r="A35" s="474"/>
      <c r="B35" s="475" t="s">
        <v>415</v>
      </c>
      <c r="C35" s="476"/>
      <c r="D35" s="477"/>
    </row>
    <row r="36" spans="1:6" ht="15.75" customHeight="1" thickBot="1">
      <c r="A36" s="553" t="s">
        <v>916</v>
      </c>
      <c r="B36" s="554"/>
      <c r="C36" s="478"/>
      <c r="D36" s="479">
        <f>IF((SUM(D3:D35)=0),"",SUM(D3:D35))</f>
        <v>136655</v>
      </c>
      <c r="F36" s="480"/>
    </row>
    <row r="38" spans="1:4" ht="15">
      <c r="A38" s="426"/>
      <c r="B38" s="427"/>
      <c r="C38" s="552"/>
      <c r="D38" s="552"/>
    </row>
    <row r="39" spans="1:4" ht="15">
      <c r="A39" s="426"/>
      <c r="B39" s="427"/>
      <c r="C39" s="429"/>
      <c r="D39" s="429"/>
    </row>
    <row r="40" spans="1:4" ht="15">
      <c r="A40" s="427"/>
      <c r="B40" s="427"/>
      <c r="C40" s="552"/>
      <c r="D40" s="552"/>
    </row>
    <row r="41" spans="1:2" ht="15">
      <c r="A41" s="459"/>
      <c r="B41" s="459"/>
    </row>
    <row r="42" spans="1:3" ht="15">
      <c r="A42" s="459"/>
      <c r="B42" s="459"/>
      <c r="C42" s="459"/>
    </row>
  </sheetData>
  <sheetProtection sheet="1" objects="1" scenarios="1"/>
  <mergeCells count="3">
    <mergeCell ref="C38:D38"/>
    <mergeCell ref="C40:D40"/>
    <mergeCell ref="A36:B36"/>
  </mergeCells>
  <printOptions horizontalCentered="1"/>
  <pageMargins left="0.7874015748031497" right="0.7874015748031497" top="1.6141732283464567" bottom="0.984251968503937" header="0.7874015748031497" footer="0.7874015748031497"/>
  <pageSetup horizontalDpi="600" verticalDpi="600" orientation="portrait" paperSize="9" scale="95" r:id="rId1"/>
  <headerFooter alignWithMargins="0">
    <oddHeader>&amp;LSzolnok Város Önkormányzata&amp;CVAGYONKIMUTATÁS
az érték nélkül nélkül nyilvántartott eszközökről 2009. év&amp;R18.b.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64"/>
  <sheetViews>
    <sheetView workbookViewId="0" topLeftCell="A1">
      <selection activeCell="H17" sqref="H17"/>
    </sheetView>
  </sheetViews>
  <sheetFormatPr defaultColWidth="9.140625" defaultRowHeight="12.75"/>
  <cols>
    <col min="1" max="1" width="5.57421875" style="2" customWidth="1"/>
    <col min="2" max="2" width="51.00390625" style="2" customWidth="1"/>
    <col min="3" max="5" width="13.7109375" style="3" customWidth="1"/>
    <col min="6" max="16384" width="8.00390625" style="3" customWidth="1"/>
  </cols>
  <sheetData>
    <row r="1" ht="12.75">
      <c r="E1" s="4" t="s">
        <v>59</v>
      </c>
    </row>
    <row r="2" spans="1:5" s="5" customFormat="1" ht="17.25" customHeight="1">
      <c r="A2" s="485" t="s">
        <v>1</v>
      </c>
      <c r="B2" s="485"/>
      <c r="C2" s="485"/>
      <c r="D2" s="485"/>
      <c r="E2" s="485"/>
    </row>
    <row r="3" spans="1:5" s="5" customFormat="1" ht="15.75" customHeight="1">
      <c r="A3" s="493" t="s">
        <v>365</v>
      </c>
      <c r="B3" s="493"/>
      <c r="C3" s="493"/>
      <c r="D3" s="493"/>
      <c r="E3" s="493"/>
    </row>
    <row r="4" spans="1:5" s="5" customFormat="1" ht="18.75" customHeight="1">
      <c r="A4" s="485"/>
      <c r="B4" s="485"/>
      <c r="C4" s="485"/>
      <c r="D4" s="485"/>
      <c r="E4" s="485"/>
    </row>
    <row r="5" spans="1:5" ht="13.5" customHeight="1">
      <c r="A5" s="494" t="s">
        <v>3</v>
      </c>
      <c r="B5" s="494"/>
      <c r="C5" s="494"/>
      <c r="D5" s="494"/>
      <c r="E5" s="494"/>
    </row>
    <row r="6" spans="1:5" s="43" customFormat="1" ht="28.5" customHeight="1" thickBot="1">
      <c r="A6" s="489" t="s">
        <v>60</v>
      </c>
      <c r="B6" s="491" t="s">
        <v>61</v>
      </c>
      <c r="C6" s="42" t="s">
        <v>62</v>
      </c>
      <c r="D6" s="42" t="s">
        <v>63</v>
      </c>
      <c r="E6" s="491" t="s">
        <v>64</v>
      </c>
    </row>
    <row r="7" spans="1:5" s="43" customFormat="1" ht="12.75" customHeight="1">
      <c r="A7" s="490"/>
      <c r="B7" s="492"/>
      <c r="C7" s="491" t="s">
        <v>65</v>
      </c>
      <c r="D7" s="491"/>
      <c r="E7" s="492"/>
    </row>
    <row r="8" spans="1:9" s="45" customFormat="1" ht="15" customHeight="1" thickBot="1">
      <c r="A8" s="44">
        <v>1</v>
      </c>
      <c r="B8" s="44">
        <v>2</v>
      </c>
      <c r="C8" s="44">
        <v>3</v>
      </c>
      <c r="D8" s="44">
        <v>4</v>
      </c>
      <c r="E8" s="44">
        <v>5</v>
      </c>
      <c r="H8" s="46"/>
      <c r="I8" s="46"/>
    </row>
    <row r="9" spans="1:5" s="45" customFormat="1" ht="12.75">
      <c r="A9" s="47">
        <v>1</v>
      </c>
      <c r="B9" s="48" t="s">
        <v>66</v>
      </c>
      <c r="C9" s="49">
        <f>7051559-2130</f>
        <v>7049429</v>
      </c>
      <c r="D9" s="49">
        <f>7682973-1973</f>
        <v>7681000</v>
      </c>
      <c r="E9" s="49">
        <v>7601209</v>
      </c>
    </row>
    <row r="10" spans="1:5" s="45" customFormat="1" ht="12.75">
      <c r="A10" s="50">
        <v>2</v>
      </c>
      <c r="B10" s="51" t="s">
        <v>67</v>
      </c>
      <c r="C10" s="52">
        <f>2287856-589</f>
        <v>2287267</v>
      </c>
      <c r="D10" s="52">
        <f>2421851-457</f>
        <v>2421394</v>
      </c>
      <c r="E10" s="52">
        <v>2298269</v>
      </c>
    </row>
    <row r="11" spans="1:5" s="45" customFormat="1" ht="12.75">
      <c r="A11" s="50">
        <v>3</v>
      </c>
      <c r="B11" s="51" t="s">
        <v>68</v>
      </c>
      <c r="C11" s="52">
        <f>5473395-4781</f>
        <v>5468614</v>
      </c>
      <c r="D11" s="52">
        <f>6821325-9369</f>
        <v>6811956</v>
      </c>
      <c r="E11" s="52">
        <v>6908242</v>
      </c>
    </row>
    <row r="12" spans="1:5" s="45" customFormat="1" ht="12.75">
      <c r="A12" s="50">
        <v>4</v>
      </c>
      <c r="B12" s="51" t="s">
        <v>69</v>
      </c>
      <c r="C12" s="52">
        <v>537816</v>
      </c>
      <c r="D12" s="52">
        <f>1663035-1502</f>
        <v>1661533</v>
      </c>
      <c r="E12" s="52">
        <v>1708167</v>
      </c>
    </row>
    <row r="13" spans="1:5" s="45" customFormat="1" ht="12.75">
      <c r="A13" s="50">
        <v>5</v>
      </c>
      <c r="B13" s="51" t="s">
        <v>70</v>
      </c>
      <c r="C13" s="52">
        <v>1400369</v>
      </c>
      <c r="D13" s="52">
        <v>1718976</v>
      </c>
      <c r="E13" s="52">
        <v>1291056</v>
      </c>
    </row>
    <row r="14" spans="1:5" s="45" customFormat="1" ht="12.75">
      <c r="A14" s="50">
        <v>6</v>
      </c>
      <c r="B14" s="51" t="s">
        <v>71</v>
      </c>
      <c r="C14" s="52">
        <v>54905</v>
      </c>
      <c r="D14" s="52">
        <v>70005</v>
      </c>
      <c r="E14" s="52">
        <v>37547</v>
      </c>
    </row>
    <row r="15" spans="1:5" s="45" customFormat="1" ht="12.75">
      <c r="A15" s="50">
        <v>7</v>
      </c>
      <c r="B15" s="51" t="s">
        <v>72</v>
      </c>
      <c r="C15" s="52">
        <v>1069996</v>
      </c>
      <c r="D15" s="52">
        <v>1266835</v>
      </c>
      <c r="E15" s="52">
        <v>1308165</v>
      </c>
    </row>
    <row r="16" spans="1:5" s="45" customFormat="1" ht="12.75">
      <c r="A16" s="53">
        <v>8</v>
      </c>
      <c r="B16" s="54" t="s">
        <v>73</v>
      </c>
      <c r="C16" s="55">
        <v>1574594</v>
      </c>
      <c r="D16" s="55">
        <f>2821677-250</f>
        <v>2821427</v>
      </c>
      <c r="E16" s="55">
        <v>1602422</v>
      </c>
    </row>
    <row r="17" spans="1:5" s="45" customFormat="1" ht="12.75">
      <c r="A17" s="50">
        <v>9</v>
      </c>
      <c r="B17" s="51" t="s">
        <v>74</v>
      </c>
      <c r="C17" s="52">
        <v>65650</v>
      </c>
      <c r="D17" s="52">
        <v>65650</v>
      </c>
      <c r="E17" s="52">
        <v>67035</v>
      </c>
    </row>
    <row r="18" spans="1:5" s="45" customFormat="1" ht="12.75">
      <c r="A18" s="53">
        <v>10</v>
      </c>
      <c r="B18" s="51" t="s">
        <v>75</v>
      </c>
      <c r="C18" s="52">
        <v>167742</v>
      </c>
      <c r="D18" s="52">
        <v>308323</v>
      </c>
      <c r="E18" s="52">
        <v>299003</v>
      </c>
    </row>
    <row r="19" spans="1:5" s="45" customFormat="1" ht="12.75">
      <c r="A19" s="50">
        <v>11</v>
      </c>
      <c r="B19" s="51" t="s">
        <v>76</v>
      </c>
      <c r="C19" s="52">
        <v>169500</v>
      </c>
      <c r="D19" s="52">
        <v>189500</v>
      </c>
      <c r="E19" s="52">
        <v>790</v>
      </c>
    </row>
    <row r="20" spans="1:5" s="45" customFormat="1" ht="13.5" thickBot="1">
      <c r="A20" s="53">
        <v>12</v>
      </c>
      <c r="B20" s="51" t="s">
        <v>77</v>
      </c>
      <c r="C20" s="55"/>
      <c r="D20" s="55"/>
      <c r="E20" s="55">
        <v>184600</v>
      </c>
    </row>
    <row r="21" spans="1:5" s="59" customFormat="1" ht="14.25" thickBot="1">
      <c r="A21" s="56">
        <v>13</v>
      </c>
      <c r="B21" s="57" t="s">
        <v>78</v>
      </c>
      <c r="C21" s="58">
        <f>SUM(C9:C20)</f>
        <v>19845882</v>
      </c>
      <c r="D21" s="58">
        <f>SUM(D9:D20)</f>
        <v>25016599</v>
      </c>
      <c r="E21" s="58">
        <f>SUM(E9:E20)</f>
        <v>23306505</v>
      </c>
    </row>
    <row r="22" spans="1:5" s="59" customFormat="1" ht="13.5">
      <c r="A22" s="47">
        <v>14</v>
      </c>
      <c r="B22" s="48" t="s">
        <v>79</v>
      </c>
      <c r="C22" s="60">
        <v>451248</v>
      </c>
      <c r="D22" s="60">
        <v>451248</v>
      </c>
      <c r="E22" s="60">
        <v>449980</v>
      </c>
    </row>
    <row r="23" spans="1:5" s="59" customFormat="1" ht="13.5">
      <c r="A23" s="53">
        <v>15</v>
      </c>
      <c r="B23" s="54" t="s">
        <v>80</v>
      </c>
      <c r="C23" s="61"/>
      <c r="D23" s="61"/>
      <c r="E23" s="61"/>
    </row>
    <row r="24" spans="1:5" s="59" customFormat="1" ht="13.5">
      <c r="A24" s="53">
        <v>16</v>
      </c>
      <c r="B24" s="54" t="s">
        <v>81</v>
      </c>
      <c r="C24" s="61"/>
      <c r="D24" s="61"/>
      <c r="E24" s="61"/>
    </row>
    <row r="25" spans="1:5" s="59" customFormat="1" ht="14.25" thickBot="1">
      <c r="A25" s="53">
        <v>17</v>
      </c>
      <c r="B25" s="54" t="s">
        <v>82</v>
      </c>
      <c r="C25" s="61"/>
      <c r="D25" s="61"/>
      <c r="E25" s="61"/>
    </row>
    <row r="26" spans="1:5" s="59" customFormat="1" ht="14.25" thickBot="1">
      <c r="A26" s="56">
        <v>18</v>
      </c>
      <c r="B26" s="57" t="s">
        <v>83</v>
      </c>
      <c r="C26" s="58">
        <f>SUM(C22:C25)</f>
        <v>451248</v>
      </c>
      <c r="D26" s="58">
        <f>SUM(D22:D25)</f>
        <v>451248</v>
      </c>
      <c r="E26" s="58">
        <f>SUM(E22:E25)</f>
        <v>449980</v>
      </c>
    </row>
    <row r="27" spans="1:5" s="59" customFormat="1" ht="14.25" thickBot="1">
      <c r="A27" s="56">
        <v>19</v>
      </c>
      <c r="B27" s="57" t="s">
        <v>84</v>
      </c>
      <c r="C27" s="58">
        <f>C21+C26</f>
        <v>20297130</v>
      </c>
      <c r="D27" s="58">
        <f>D21+D26</f>
        <v>25467847</v>
      </c>
      <c r="E27" s="58">
        <f>E21+E26</f>
        <v>23756485</v>
      </c>
    </row>
    <row r="28" spans="1:5" s="45" customFormat="1" ht="12.75">
      <c r="A28" s="47">
        <v>20</v>
      </c>
      <c r="B28" s="48" t="s">
        <v>85</v>
      </c>
      <c r="C28" s="60">
        <v>1527108</v>
      </c>
      <c r="D28" s="60">
        <v>1215542</v>
      </c>
      <c r="E28" s="60"/>
    </row>
    <row r="29" spans="1:5" s="45" customFormat="1" ht="12.75">
      <c r="A29" s="50">
        <v>21</v>
      </c>
      <c r="B29" s="51" t="s">
        <v>86</v>
      </c>
      <c r="C29" s="62"/>
      <c r="D29" s="62"/>
      <c r="E29" s="63"/>
    </row>
    <row r="30" spans="1:5" s="45" customFormat="1" ht="13.5" thickBot="1">
      <c r="A30" s="53">
        <v>22</v>
      </c>
      <c r="B30" s="54" t="s">
        <v>87</v>
      </c>
      <c r="C30" s="62"/>
      <c r="D30" s="62"/>
      <c r="E30" s="61">
        <v>407910</v>
      </c>
    </row>
    <row r="31" spans="1:5" s="59" customFormat="1" ht="14.25" thickBot="1">
      <c r="A31" s="56">
        <v>23</v>
      </c>
      <c r="B31" s="57" t="s">
        <v>88</v>
      </c>
      <c r="C31" s="58">
        <f>SUM(C27:C30)</f>
        <v>21824238</v>
      </c>
      <c r="D31" s="58">
        <f>SUM(D27:D30)</f>
        <v>26683389</v>
      </c>
      <c r="E31" s="58">
        <f>SUM(E27:E30)</f>
        <v>24164395</v>
      </c>
    </row>
    <row r="32" spans="1:5" s="45" customFormat="1" ht="12.75">
      <c r="A32" s="47">
        <v>24</v>
      </c>
      <c r="B32" s="48" t="s">
        <v>89</v>
      </c>
      <c r="C32" s="60">
        <v>1628434</v>
      </c>
      <c r="D32" s="60">
        <f>2438461-199</f>
        <v>2438262</v>
      </c>
      <c r="E32" s="60">
        <v>2871425</v>
      </c>
    </row>
    <row r="33" spans="1:5" s="45" customFormat="1" ht="12.75">
      <c r="A33" s="50">
        <v>25</v>
      </c>
      <c r="B33" s="51" t="s">
        <v>90</v>
      </c>
      <c r="C33" s="63">
        <v>7301351</v>
      </c>
      <c r="D33" s="63">
        <v>7215902</v>
      </c>
      <c r="E33" s="63">
        <v>6817323</v>
      </c>
    </row>
    <row r="34" spans="1:5" s="45" customFormat="1" ht="12.75">
      <c r="A34" s="50">
        <v>26</v>
      </c>
      <c r="B34" s="51" t="s">
        <v>91</v>
      </c>
      <c r="C34" s="63">
        <v>668369</v>
      </c>
      <c r="D34" s="63">
        <f>1004807-2973</f>
        <v>1001834</v>
      </c>
      <c r="E34" s="63">
        <v>1341445</v>
      </c>
    </row>
    <row r="35" spans="1:5" s="45" customFormat="1" ht="12.75">
      <c r="A35" s="50">
        <v>27</v>
      </c>
      <c r="B35" s="51" t="s">
        <v>92</v>
      </c>
      <c r="C35" s="63">
        <v>12250</v>
      </c>
      <c r="D35" s="63">
        <v>97128</v>
      </c>
      <c r="E35" s="63">
        <v>99755</v>
      </c>
    </row>
    <row r="36" spans="1:5" s="45" customFormat="1" ht="12.75">
      <c r="A36" s="50">
        <v>28</v>
      </c>
      <c r="B36" s="51" t="s">
        <v>93</v>
      </c>
      <c r="C36" s="63">
        <v>544156</v>
      </c>
      <c r="D36" s="63">
        <v>555672</v>
      </c>
      <c r="E36" s="63">
        <v>440567</v>
      </c>
    </row>
    <row r="37" spans="1:5" s="45" customFormat="1" ht="12.75">
      <c r="A37" s="50">
        <v>29</v>
      </c>
      <c r="B37" s="51" t="s">
        <v>94</v>
      </c>
      <c r="C37" s="63">
        <v>543152</v>
      </c>
      <c r="D37" s="63">
        <v>550152</v>
      </c>
      <c r="E37" s="63">
        <v>434921</v>
      </c>
    </row>
    <row r="38" spans="1:5" s="45" customFormat="1" ht="12.75">
      <c r="A38" s="50">
        <v>30</v>
      </c>
      <c r="B38" s="51" t="s">
        <v>95</v>
      </c>
      <c r="C38" s="63">
        <v>962734</v>
      </c>
      <c r="D38" s="63">
        <v>923144</v>
      </c>
      <c r="E38" s="63">
        <v>240400</v>
      </c>
    </row>
    <row r="39" spans="1:5" s="45" customFormat="1" ht="12.75">
      <c r="A39" s="53">
        <v>31</v>
      </c>
      <c r="B39" s="51" t="s">
        <v>96</v>
      </c>
      <c r="C39" s="61">
        <v>128516</v>
      </c>
      <c r="D39" s="61">
        <v>198378</v>
      </c>
      <c r="E39" s="61">
        <v>155781</v>
      </c>
    </row>
    <row r="40" spans="1:5" s="45" customFormat="1" ht="12.75">
      <c r="A40" s="50">
        <v>32</v>
      </c>
      <c r="B40" s="51" t="s">
        <v>97</v>
      </c>
      <c r="C40" s="63">
        <f>6390204-7500</f>
        <v>6382704</v>
      </c>
      <c r="D40" s="63">
        <f>7956525-9035</f>
        <v>7947490</v>
      </c>
      <c r="E40" s="63">
        <v>7870036</v>
      </c>
    </row>
    <row r="41" spans="1:5" s="45" customFormat="1" ht="12.75">
      <c r="A41" s="53">
        <v>33</v>
      </c>
      <c r="B41" s="51" t="s">
        <v>98</v>
      </c>
      <c r="C41" s="61">
        <v>6382704</v>
      </c>
      <c r="D41" s="61">
        <f>7956525-7500</f>
        <v>7949025</v>
      </c>
      <c r="E41" s="61">
        <v>78715571</v>
      </c>
    </row>
    <row r="42" spans="1:5" s="45" customFormat="1" ht="12.75">
      <c r="A42" s="50">
        <v>34</v>
      </c>
      <c r="B42" s="51" t="s">
        <v>99</v>
      </c>
      <c r="C42" s="63">
        <v>12000</v>
      </c>
      <c r="D42" s="63">
        <v>12000</v>
      </c>
      <c r="E42" s="63">
        <v>14732</v>
      </c>
    </row>
    <row r="43" spans="1:5" s="45" customFormat="1" ht="13.5" thickBot="1">
      <c r="A43" s="53">
        <v>35</v>
      </c>
      <c r="B43" s="48" t="s">
        <v>100</v>
      </c>
      <c r="C43" s="61"/>
      <c r="D43" s="61"/>
      <c r="E43" s="61">
        <v>17000</v>
      </c>
    </row>
    <row r="44" spans="1:5" s="45" customFormat="1" ht="21" thickBot="1">
      <c r="A44" s="56">
        <v>36</v>
      </c>
      <c r="B44" s="57" t="s">
        <v>101</v>
      </c>
      <c r="C44" s="64">
        <f>C32+C33+C34+C35+C36+C38+C39+C40+C42+C43</f>
        <v>17640514</v>
      </c>
      <c r="D44" s="64">
        <f>D32+D33+D34+D35+D36+D38+D39+D40+D42+D43</f>
        <v>20389810</v>
      </c>
      <c r="E44" s="64">
        <f>E32+E33+E34+E35+E36+E38+E39+E40+E42+E43</f>
        <v>19868464</v>
      </c>
    </row>
    <row r="45" spans="1:5" s="45" customFormat="1" ht="12.75">
      <c r="A45" s="47">
        <v>37</v>
      </c>
      <c r="B45" s="48" t="s">
        <v>102</v>
      </c>
      <c r="C45" s="60"/>
      <c r="D45" s="60"/>
      <c r="E45" s="60"/>
    </row>
    <row r="46" spans="1:5" s="45" customFormat="1" ht="12.75">
      <c r="A46" s="53">
        <v>38</v>
      </c>
      <c r="B46" s="48" t="s">
        <v>103</v>
      </c>
      <c r="C46" s="63">
        <v>374817</v>
      </c>
      <c r="D46" s="63">
        <v>459068</v>
      </c>
      <c r="E46" s="63">
        <v>1201372</v>
      </c>
    </row>
    <row r="47" spans="1:5" s="45" customFormat="1" ht="12.75">
      <c r="A47" s="47">
        <v>39</v>
      </c>
      <c r="B47" s="54" t="s">
        <v>104</v>
      </c>
      <c r="C47" s="60"/>
      <c r="D47" s="60"/>
      <c r="E47" s="60">
        <v>83163</v>
      </c>
    </row>
    <row r="48" spans="1:5" s="45" customFormat="1" ht="13.5" thickBot="1">
      <c r="A48" s="53">
        <v>40</v>
      </c>
      <c r="B48" s="54" t="s">
        <v>105</v>
      </c>
      <c r="C48" s="61">
        <v>3808907</v>
      </c>
      <c r="D48" s="61">
        <v>3464032</v>
      </c>
      <c r="E48" s="61">
        <v>3809209</v>
      </c>
    </row>
    <row r="49" spans="1:5" s="45" customFormat="1" ht="12.75">
      <c r="A49" s="65">
        <v>41</v>
      </c>
      <c r="B49" s="66" t="s">
        <v>106</v>
      </c>
      <c r="C49" s="67">
        <f>SUM(C45:C48)</f>
        <v>4183724</v>
      </c>
      <c r="D49" s="67">
        <f>SUM(D45:D48)</f>
        <v>3923100</v>
      </c>
      <c r="E49" s="67">
        <f>SUM(E45:E48)</f>
        <v>5093744</v>
      </c>
    </row>
    <row r="50" spans="1:5" s="59" customFormat="1" ht="14.25" thickBot="1">
      <c r="A50" s="68">
        <v>42</v>
      </c>
      <c r="B50" s="69" t="s">
        <v>107</v>
      </c>
      <c r="C50" s="70">
        <f>C44+C49</f>
        <v>21824238</v>
      </c>
      <c r="D50" s="70">
        <f>D44+D49</f>
        <v>24312910</v>
      </c>
      <c r="E50" s="70">
        <f>E44+E49</f>
        <v>24962208</v>
      </c>
    </row>
    <row r="51" spans="1:5" s="45" customFormat="1" ht="12.75">
      <c r="A51" s="47">
        <v>43</v>
      </c>
      <c r="B51" s="48" t="s">
        <v>108</v>
      </c>
      <c r="C51" s="60"/>
      <c r="D51" s="60">
        <f>2371823-1344</f>
        <v>2370479</v>
      </c>
      <c r="E51" s="60">
        <v>2370479</v>
      </c>
    </row>
    <row r="52" spans="1:5" s="45" customFormat="1" ht="12.75">
      <c r="A52" s="53">
        <v>44</v>
      </c>
      <c r="B52" s="51" t="s">
        <v>109</v>
      </c>
      <c r="C52" s="62"/>
      <c r="D52" s="62"/>
      <c r="E52" s="61"/>
    </row>
    <row r="53" spans="1:5" s="45" customFormat="1" ht="13.5" thickBot="1">
      <c r="A53" s="53">
        <v>45</v>
      </c>
      <c r="B53" s="54" t="s">
        <v>110</v>
      </c>
      <c r="C53" s="71"/>
      <c r="D53" s="71"/>
      <c r="E53" s="61">
        <v>-17117</v>
      </c>
    </row>
    <row r="54" spans="1:5" s="45" customFormat="1" ht="13.5" thickBot="1">
      <c r="A54" s="72">
        <v>46</v>
      </c>
      <c r="B54" s="73" t="s">
        <v>111</v>
      </c>
      <c r="C54" s="64">
        <f>SUM(C50:C53)</f>
        <v>21824238</v>
      </c>
      <c r="D54" s="64">
        <f>SUM(D50:D53)</f>
        <v>26683389</v>
      </c>
      <c r="E54" s="74">
        <f>SUM(E50:E53)</f>
        <v>27315570</v>
      </c>
    </row>
    <row r="55" spans="1:5" s="45" customFormat="1" ht="21" thickBot="1">
      <c r="A55" s="56">
        <v>47</v>
      </c>
      <c r="B55" s="57" t="s">
        <v>112</v>
      </c>
      <c r="C55" s="64">
        <f>C44+C51-C21-C28</f>
        <v>-3732476</v>
      </c>
      <c r="D55" s="64">
        <f>D44+D51-D21-D28</f>
        <v>-3471852</v>
      </c>
      <c r="E55" s="64">
        <f>E44+E51-E21-E28</f>
        <v>-1067562</v>
      </c>
    </row>
    <row r="56" spans="1:5" s="45" customFormat="1" ht="13.5" thickBot="1">
      <c r="A56" s="75">
        <v>48</v>
      </c>
      <c r="B56" s="76" t="s">
        <v>113</v>
      </c>
      <c r="C56" s="77">
        <f>C49-C26</f>
        <v>3732476</v>
      </c>
      <c r="D56" s="77">
        <f>D49-D26</f>
        <v>3471852</v>
      </c>
      <c r="E56" s="77">
        <f>E49-E26</f>
        <v>4643764</v>
      </c>
    </row>
    <row r="57" spans="1:5" s="45" customFormat="1" ht="13.5" thickBot="1">
      <c r="A57" s="75">
        <v>49</v>
      </c>
      <c r="B57" s="76" t="s">
        <v>114</v>
      </c>
      <c r="C57" s="78"/>
      <c r="D57" s="78"/>
      <c r="E57" s="77">
        <f>E52-E29</f>
        <v>0</v>
      </c>
    </row>
    <row r="58" spans="1:5" s="45" customFormat="1" ht="12.75">
      <c r="A58" s="79">
        <v>50</v>
      </c>
      <c r="B58" s="80" t="s">
        <v>115</v>
      </c>
      <c r="C58" s="81"/>
      <c r="D58" s="81"/>
      <c r="E58" s="82">
        <f>E53-E30</f>
        <v>-425027</v>
      </c>
    </row>
    <row r="59" ht="15">
      <c r="B59" s="83"/>
    </row>
    <row r="60" spans="1:8" ht="12.75">
      <c r="A60" s="41"/>
      <c r="B60" s="41"/>
      <c r="C60" s="41"/>
      <c r="D60" s="41"/>
      <c r="E60" s="41"/>
      <c r="F60" s="41"/>
      <c r="G60" s="41"/>
      <c r="H60" s="41"/>
    </row>
    <row r="61" spans="1:8" ht="12.75">
      <c r="A61" s="41"/>
      <c r="B61" s="41"/>
      <c r="C61" s="84"/>
      <c r="D61" s="85"/>
      <c r="E61" s="41"/>
      <c r="H61" s="41"/>
    </row>
    <row r="62" spans="1:8" ht="12.75">
      <c r="A62" s="41"/>
      <c r="B62" s="4"/>
      <c r="C62" s="84"/>
      <c r="D62" s="484"/>
      <c r="E62" s="484"/>
      <c r="G62" s="85"/>
      <c r="H62" s="41"/>
    </row>
    <row r="63" spans="1:8" ht="12.75">
      <c r="A63" s="41"/>
      <c r="B63" s="86"/>
      <c r="C63" s="41"/>
      <c r="D63" s="484"/>
      <c r="E63" s="484"/>
      <c r="G63" s="85"/>
      <c r="H63" s="41"/>
    </row>
    <row r="64" spans="4:5" ht="12.75">
      <c r="D64" s="484"/>
      <c r="E64" s="484"/>
    </row>
  </sheetData>
  <sheetProtection selectLockedCells="1" selectUnlockedCells="1"/>
  <mergeCells count="11">
    <mergeCell ref="A2:E2"/>
    <mergeCell ref="A3:E3"/>
    <mergeCell ref="A4:E4"/>
    <mergeCell ref="A5:E5"/>
    <mergeCell ref="D62:E62"/>
    <mergeCell ref="D63:E63"/>
    <mergeCell ref="D64:E64"/>
    <mergeCell ref="A6:A7"/>
    <mergeCell ref="B6:B7"/>
    <mergeCell ref="E6:E7"/>
    <mergeCell ref="C7:D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1"/>
  <rowBreaks count="1" manualBreakCount="1">
    <brk id="59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H30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5.57421875" style="3" customWidth="1"/>
    <col min="2" max="2" width="42.421875" style="2" customWidth="1"/>
    <col min="3" max="3" width="13.7109375" style="3" customWidth="1"/>
    <col min="4" max="4" width="12.7109375" style="3" customWidth="1"/>
    <col min="5" max="6" width="13.7109375" style="3" customWidth="1"/>
    <col min="7" max="7" width="12.00390625" style="3" customWidth="1"/>
    <col min="8" max="8" width="13.7109375" style="3" customWidth="1"/>
    <col min="9" max="16384" width="8.00390625" style="3" customWidth="1"/>
  </cols>
  <sheetData>
    <row r="1" ht="12.75">
      <c r="H1" s="4" t="s">
        <v>116</v>
      </c>
    </row>
    <row r="2" spans="1:8" s="87" customFormat="1" ht="25.5" customHeight="1">
      <c r="A2" s="485" t="s">
        <v>1</v>
      </c>
      <c r="B2" s="485"/>
      <c r="C2" s="485"/>
      <c r="D2" s="485"/>
      <c r="E2" s="485"/>
      <c r="F2" s="485"/>
      <c r="G2" s="485"/>
      <c r="H2" s="485"/>
    </row>
    <row r="3" spans="1:8" s="88" customFormat="1" ht="18" customHeight="1">
      <c r="A3" s="493" t="s">
        <v>366</v>
      </c>
      <c r="B3" s="493"/>
      <c r="C3" s="493"/>
      <c r="D3" s="493"/>
      <c r="E3" s="493"/>
      <c r="F3" s="493"/>
      <c r="G3" s="493"/>
      <c r="H3" s="493"/>
    </row>
    <row r="4" spans="1:8" s="87" customFormat="1" ht="16.5" customHeight="1">
      <c r="A4" s="485"/>
      <c r="B4" s="485"/>
      <c r="C4" s="485"/>
      <c r="D4" s="485"/>
      <c r="E4" s="485"/>
      <c r="F4" s="485"/>
      <c r="G4" s="485"/>
      <c r="H4" s="485"/>
    </row>
    <row r="5" spans="1:8" s="87" customFormat="1" ht="16.5" customHeight="1">
      <c r="A5" s="89"/>
      <c r="B5" s="89"/>
      <c r="C5" s="89"/>
      <c r="D5" s="89"/>
      <c r="E5" s="89"/>
      <c r="F5" s="89"/>
      <c r="G5" s="89"/>
      <c r="H5" s="89"/>
    </row>
    <row r="6" spans="1:8" s="2" customFormat="1" ht="13.5" customHeight="1">
      <c r="A6" s="495" t="s">
        <v>3</v>
      </c>
      <c r="B6" s="495"/>
      <c r="C6" s="495"/>
      <c r="D6" s="495"/>
      <c r="E6" s="495"/>
      <c r="F6" s="495"/>
      <c r="G6" s="495"/>
      <c r="H6" s="495"/>
    </row>
    <row r="7" spans="1:8" ht="54" customHeight="1">
      <c r="A7" s="90" t="s">
        <v>117</v>
      </c>
      <c r="B7" s="91" t="s">
        <v>61</v>
      </c>
      <c r="C7" s="92" t="s">
        <v>5</v>
      </c>
      <c r="D7" s="92" t="s">
        <v>6</v>
      </c>
      <c r="E7" s="92" t="s">
        <v>7</v>
      </c>
      <c r="F7" s="92" t="s">
        <v>8</v>
      </c>
      <c r="G7" s="92" t="s">
        <v>6</v>
      </c>
      <c r="H7" s="93" t="s">
        <v>9</v>
      </c>
    </row>
    <row r="8" spans="1:8" s="45" customFormat="1" ht="18" customHeight="1">
      <c r="A8" s="94">
        <v>1</v>
      </c>
      <c r="B8" s="95" t="s">
        <v>118</v>
      </c>
      <c r="C8" s="96">
        <v>1868801</v>
      </c>
      <c r="D8" s="96"/>
      <c r="E8" s="97">
        <f>D8+C8</f>
        <v>1868801</v>
      </c>
      <c r="F8" s="96">
        <v>2649497</v>
      </c>
      <c r="G8" s="96"/>
      <c r="H8" s="98">
        <f>G8+F8</f>
        <v>2649497</v>
      </c>
    </row>
    <row r="9" spans="1:8" s="45" customFormat="1" ht="18" customHeight="1">
      <c r="A9" s="99">
        <v>2</v>
      </c>
      <c r="B9" s="100" t="s">
        <v>119</v>
      </c>
      <c r="C9" s="101"/>
      <c r="D9" s="101"/>
      <c r="E9" s="102"/>
      <c r="F9" s="101">
        <v>-1907361</v>
      </c>
      <c r="G9" s="101"/>
      <c r="H9" s="103">
        <f>G9+F9</f>
        <v>-1907361</v>
      </c>
    </row>
    <row r="10" spans="1:8" s="45" customFormat="1" ht="25.5" customHeight="1">
      <c r="A10" s="104">
        <v>3</v>
      </c>
      <c r="B10" s="105" t="s">
        <v>120</v>
      </c>
      <c r="C10" s="106">
        <v>-91221</v>
      </c>
      <c r="D10" s="106"/>
      <c r="E10" s="107">
        <f>D10+C10</f>
        <v>-91221</v>
      </c>
      <c r="F10" s="106">
        <v>333806</v>
      </c>
      <c r="G10" s="106">
        <v>-70094</v>
      </c>
      <c r="H10" s="103">
        <f>G10+F10</f>
        <v>263712</v>
      </c>
    </row>
    <row r="11" spans="1:8" s="45" customFormat="1" ht="18" customHeight="1">
      <c r="A11" s="104">
        <v>4</v>
      </c>
      <c r="B11" s="105" t="s">
        <v>121</v>
      </c>
      <c r="C11" s="106"/>
      <c r="D11" s="106"/>
      <c r="E11" s="107">
        <f>D11+C11</f>
        <v>0</v>
      </c>
      <c r="F11" s="106">
        <v>3103220</v>
      </c>
      <c r="G11" s="106"/>
      <c r="H11" s="103">
        <f>G11+F11</f>
        <v>3103220</v>
      </c>
    </row>
    <row r="12" spans="1:8" s="45" customFormat="1" ht="18" customHeight="1">
      <c r="A12" s="108">
        <v>5</v>
      </c>
      <c r="B12" s="109" t="s">
        <v>122</v>
      </c>
      <c r="C12" s="110"/>
      <c r="D12" s="110"/>
      <c r="E12" s="111">
        <f>D12+C12</f>
        <v>0</v>
      </c>
      <c r="F12" s="110"/>
      <c r="G12" s="110"/>
      <c r="H12" s="112">
        <f>G12+F12</f>
        <v>0</v>
      </c>
    </row>
    <row r="13" spans="1:8" s="14" customFormat="1" ht="18" customHeight="1">
      <c r="A13" s="113">
        <v>6</v>
      </c>
      <c r="B13" s="114" t="s">
        <v>123</v>
      </c>
      <c r="C13" s="115">
        <f>C8+C10-C11-C12</f>
        <v>1777580</v>
      </c>
      <c r="D13" s="115">
        <f>D8+D10-D11-D12</f>
        <v>0</v>
      </c>
      <c r="E13" s="115">
        <f>E8+E10-E11-E12</f>
        <v>1777580</v>
      </c>
      <c r="F13" s="115">
        <f>F8+F9+F10-F11-F12</f>
        <v>-2027278</v>
      </c>
      <c r="G13" s="115">
        <f>G8+C9+G10-G11-G12</f>
        <v>-70094</v>
      </c>
      <c r="H13" s="116">
        <f>H8+H9+H10-H11-H12</f>
        <v>-2097372</v>
      </c>
    </row>
    <row r="14" spans="1:8" s="45" customFormat="1" ht="18" customHeight="1">
      <c r="A14" s="99">
        <v>7</v>
      </c>
      <c r="B14" s="100" t="s">
        <v>124</v>
      </c>
      <c r="C14" s="101">
        <v>67487</v>
      </c>
      <c r="D14" s="101"/>
      <c r="E14" s="102">
        <f>D14+C14</f>
        <v>67487</v>
      </c>
      <c r="F14" s="101">
        <v>-81230</v>
      </c>
      <c r="G14" s="101"/>
      <c r="H14" s="117">
        <f>G14+F14</f>
        <v>-81230</v>
      </c>
    </row>
    <row r="15" spans="1:8" s="45" customFormat="1" ht="18" customHeight="1">
      <c r="A15" s="104">
        <v>8</v>
      </c>
      <c r="B15" s="105" t="s">
        <v>125</v>
      </c>
      <c r="C15" s="52"/>
      <c r="D15" s="106"/>
      <c r="E15" s="107">
        <f>D15+C15</f>
        <v>0</v>
      </c>
      <c r="F15" s="106"/>
      <c r="G15" s="106"/>
      <c r="H15" s="103">
        <f>G15+F15</f>
        <v>0</v>
      </c>
    </row>
    <row r="16" spans="1:8" s="45" customFormat="1" ht="18" customHeight="1">
      <c r="A16" s="104">
        <v>9</v>
      </c>
      <c r="B16" s="105" t="s">
        <v>917</v>
      </c>
      <c r="C16" s="52">
        <f>SUM(C13:C15)</f>
        <v>1845067</v>
      </c>
      <c r="D16" s="106"/>
      <c r="E16" s="52">
        <f>SUM(E13:E15)</f>
        <v>1845067</v>
      </c>
      <c r="F16" s="52">
        <f>SUM(F13:F15)</f>
        <v>-2108508</v>
      </c>
      <c r="G16" s="52">
        <f>SUM(G13:G15)</f>
        <v>-70094</v>
      </c>
      <c r="H16" s="555">
        <f>SUM(H13:H15)</f>
        <v>-2178602</v>
      </c>
    </row>
    <row r="17" spans="1:8" s="45" customFormat="1" ht="27" customHeight="1">
      <c r="A17" s="104">
        <v>10</v>
      </c>
      <c r="B17" s="105" t="s">
        <v>126</v>
      </c>
      <c r="C17" s="52"/>
      <c r="D17" s="106"/>
      <c r="E17" s="107">
        <f>D17+C17</f>
        <v>0</v>
      </c>
      <c r="F17" s="106"/>
      <c r="G17" s="106"/>
      <c r="H17" s="103">
        <f>G17+F17</f>
        <v>0</v>
      </c>
    </row>
    <row r="18" spans="1:8" s="45" customFormat="1" ht="28.5" customHeight="1" thickBot="1">
      <c r="A18" s="108">
        <v>11</v>
      </c>
      <c r="B18" s="109" t="s">
        <v>127</v>
      </c>
      <c r="C18" s="55"/>
      <c r="D18" s="110"/>
      <c r="E18" s="111">
        <f>D18+C18</f>
        <v>0</v>
      </c>
      <c r="F18" s="110"/>
      <c r="G18" s="110"/>
      <c r="H18" s="124">
        <f>G18+F18</f>
        <v>0</v>
      </c>
    </row>
    <row r="19" spans="1:8" s="14" customFormat="1" ht="18" customHeight="1" thickBot="1">
      <c r="A19" s="113">
        <v>12</v>
      </c>
      <c r="B19" s="114" t="s">
        <v>128</v>
      </c>
      <c r="C19" s="118">
        <f aca="true" t="shared" si="0" ref="C19:H19">C13+C14+C15+C17+C18</f>
        <v>1845067</v>
      </c>
      <c r="D19" s="118">
        <f t="shared" si="0"/>
        <v>0</v>
      </c>
      <c r="E19" s="118">
        <f t="shared" si="0"/>
        <v>1845067</v>
      </c>
      <c r="F19" s="118">
        <f t="shared" si="0"/>
        <v>-2108508</v>
      </c>
      <c r="G19" s="118">
        <f t="shared" si="0"/>
        <v>-70094</v>
      </c>
      <c r="H19" s="119">
        <f t="shared" si="0"/>
        <v>-2178602</v>
      </c>
    </row>
    <row r="20" spans="1:8" s="45" customFormat="1" ht="20.25">
      <c r="A20" s="99">
        <v>13</v>
      </c>
      <c r="B20" s="100" t="s">
        <v>129</v>
      </c>
      <c r="C20" s="49"/>
      <c r="D20" s="101"/>
      <c r="E20" s="102">
        <f>D20+C20</f>
        <v>0</v>
      </c>
      <c r="F20" s="101"/>
      <c r="G20" s="101"/>
      <c r="H20" s="117">
        <f>G20+F20</f>
        <v>0</v>
      </c>
    </row>
    <row r="21" spans="1:8" s="45" customFormat="1" ht="18" customHeight="1">
      <c r="A21" s="104">
        <v>14</v>
      </c>
      <c r="B21" s="105" t="s">
        <v>130</v>
      </c>
      <c r="C21" s="106">
        <v>1716598</v>
      </c>
      <c r="D21" s="106"/>
      <c r="E21" s="107">
        <f>D21+C21</f>
        <v>1716598</v>
      </c>
      <c r="F21" s="106">
        <v>-2260118</v>
      </c>
      <c r="G21" s="106">
        <v>-70094</v>
      </c>
      <c r="H21" s="103">
        <f>G21+F21</f>
        <v>-2330212</v>
      </c>
    </row>
    <row r="22" spans="1:8" s="45" customFormat="1" ht="18" customHeight="1">
      <c r="A22" s="120">
        <v>15</v>
      </c>
      <c r="B22" s="121" t="s">
        <v>131</v>
      </c>
      <c r="C22" s="122">
        <v>128469</v>
      </c>
      <c r="D22" s="122"/>
      <c r="E22" s="123">
        <f>D22+C22</f>
        <v>128469</v>
      </c>
      <c r="F22" s="122">
        <v>151610</v>
      </c>
      <c r="G22" s="122"/>
      <c r="H22" s="124">
        <f>G22+F22</f>
        <v>151610</v>
      </c>
    </row>
    <row r="27" spans="1:8" ht="12.75">
      <c r="A27" s="41"/>
      <c r="B27" s="41"/>
      <c r="C27" s="41"/>
      <c r="D27" s="41"/>
      <c r="E27" s="41"/>
      <c r="F27" s="41"/>
      <c r="G27" s="41"/>
      <c r="H27" s="41"/>
    </row>
    <row r="28" spans="1:8" ht="12.75" customHeight="1">
      <c r="A28" s="41"/>
      <c r="B28" s="41"/>
      <c r="C28" s="484"/>
      <c r="D28" s="484"/>
      <c r="E28" s="41"/>
      <c r="F28" s="484"/>
      <c r="G28" s="484"/>
      <c r="H28" s="41"/>
    </row>
    <row r="29" spans="1:8" ht="12.75">
      <c r="A29" s="41"/>
      <c r="B29" s="41"/>
      <c r="C29" s="484"/>
      <c r="D29" s="484"/>
      <c r="E29" s="41"/>
      <c r="F29" s="484"/>
      <c r="G29" s="484"/>
      <c r="H29" s="41"/>
    </row>
    <row r="30" spans="1:8" ht="12.75">
      <c r="A30" s="41"/>
      <c r="B30" s="41"/>
      <c r="C30" s="41"/>
      <c r="D30" s="41"/>
      <c r="E30" s="41"/>
      <c r="F30" s="484"/>
      <c r="G30" s="484"/>
      <c r="H30" s="41"/>
    </row>
  </sheetData>
  <sheetProtection selectLockedCells="1" selectUnlockedCells="1"/>
  <mergeCells count="9">
    <mergeCell ref="A2:H2"/>
    <mergeCell ref="A3:H3"/>
    <mergeCell ref="A4:H4"/>
    <mergeCell ref="A6:H6"/>
    <mergeCell ref="F30:G30"/>
    <mergeCell ref="C28:D28"/>
    <mergeCell ref="F28:G28"/>
    <mergeCell ref="C29:D29"/>
    <mergeCell ref="F29:G29"/>
  </mergeCells>
  <printOptions horizontalCentered="1"/>
  <pageMargins left="0.19652777777777777" right="0.19652777777777777" top="0.5798611111111112" bottom="0.5597222222222222" header="0.5118055555555555" footer="0.5118055555555555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F38"/>
  <sheetViews>
    <sheetView workbookViewId="0" topLeftCell="A1">
      <selection activeCell="D7" sqref="D7:F38"/>
    </sheetView>
  </sheetViews>
  <sheetFormatPr defaultColWidth="9.140625" defaultRowHeight="12.75"/>
  <cols>
    <col min="1" max="2" width="3.57421875" style="125" customWidth="1"/>
    <col min="3" max="3" width="39.28125" style="125" customWidth="1"/>
    <col min="4" max="6" width="13.140625" style="126" customWidth="1"/>
    <col min="7" max="16384" width="9.140625" style="125" customWidth="1"/>
  </cols>
  <sheetData>
    <row r="1" spans="3:6" ht="15">
      <c r="C1" s="125" t="s">
        <v>132</v>
      </c>
      <c r="F1" s="127" t="s">
        <v>133</v>
      </c>
    </row>
    <row r="3" spans="1:6" ht="15">
      <c r="A3" s="498" t="s">
        <v>134</v>
      </c>
      <c r="B3" s="498"/>
      <c r="C3" s="498"/>
      <c r="D3" s="498"/>
      <c r="E3" s="498"/>
      <c r="F3" s="498"/>
    </row>
    <row r="4" spans="1:6" ht="15">
      <c r="A4" s="128"/>
      <c r="B4" s="128"/>
      <c r="C4" s="128"/>
      <c r="D4" s="129"/>
      <c r="E4" s="129"/>
      <c r="F4" s="129"/>
    </row>
    <row r="5" spans="1:6" ht="18" customHeight="1">
      <c r="A5" s="130"/>
      <c r="B5" s="130"/>
      <c r="C5" s="130"/>
      <c r="D5" s="131"/>
      <c r="E5" s="131"/>
      <c r="F5" s="132" t="s">
        <v>3</v>
      </c>
    </row>
    <row r="6" spans="1:6" ht="30.75" customHeight="1">
      <c r="A6" s="497" t="s">
        <v>135</v>
      </c>
      <c r="B6" s="497"/>
      <c r="C6" s="497"/>
      <c r="D6" s="133" t="s">
        <v>136</v>
      </c>
      <c r="E6" s="133" t="s">
        <v>137</v>
      </c>
      <c r="F6" s="134" t="s">
        <v>138</v>
      </c>
    </row>
    <row r="7" spans="1:6" ht="15.75" customHeight="1">
      <c r="A7" s="135"/>
      <c r="B7" s="130"/>
      <c r="C7" s="136"/>
      <c r="D7" s="341"/>
      <c r="E7" s="341"/>
      <c r="F7" s="342"/>
    </row>
    <row r="8" spans="1:6" ht="21.75" customHeight="1">
      <c r="A8" s="137" t="s">
        <v>139</v>
      </c>
      <c r="B8" s="138"/>
      <c r="C8" s="138" t="s">
        <v>140</v>
      </c>
      <c r="D8" s="343">
        <f>SUM(D9:D12)</f>
        <v>51</v>
      </c>
      <c r="E8" s="343">
        <f>SUM(E10:E11)</f>
        <v>160</v>
      </c>
      <c r="F8" s="344">
        <f>SUM(F9:F12)</f>
        <v>211</v>
      </c>
    </row>
    <row r="9" spans="1:6" ht="15">
      <c r="A9" s="496" t="s">
        <v>141</v>
      </c>
      <c r="B9" s="496"/>
      <c r="C9" s="130" t="s">
        <v>142</v>
      </c>
      <c r="D9" s="345"/>
      <c r="E9" s="345"/>
      <c r="F9" s="346">
        <f>SUM(D9:E9)</f>
        <v>0</v>
      </c>
    </row>
    <row r="10" spans="1:6" ht="15">
      <c r="A10" s="496" t="s">
        <v>143</v>
      </c>
      <c r="B10" s="496"/>
      <c r="C10" s="130" t="s">
        <v>144</v>
      </c>
      <c r="D10" s="345">
        <v>51</v>
      </c>
      <c r="E10" s="345">
        <v>160</v>
      </c>
      <c r="F10" s="346">
        <f>SUM(D10:E10)</f>
        <v>211</v>
      </c>
    </row>
    <row r="11" spans="1:6" ht="15">
      <c r="A11" s="496" t="s">
        <v>145</v>
      </c>
      <c r="B11" s="496"/>
      <c r="C11" s="130" t="s">
        <v>146</v>
      </c>
      <c r="D11" s="345"/>
      <c r="E11" s="345"/>
      <c r="F11" s="346"/>
    </row>
    <row r="12" spans="1:6" ht="15">
      <c r="A12" s="496" t="s">
        <v>147</v>
      </c>
      <c r="B12" s="496"/>
      <c r="C12" s="130" t="s">
        <v>148</v>
      </c>
      <c r="D12" s="345"/>
      <c r="E12" s="345"/>
      <c r="F12" s="346"/>
    </row>
    <row r="13" spans="1:6" ht="12.75" customHeight="1">
      <c r="A13" s="135"/>
      <c r="B13" s="130"/>
      <c r="C13" s="130"/>
      <c r="D13" s="345"/>
      <c r="E13" s="345"/>
      <c r="F13" s="346"/>
    </row>
    <row r="14" spans="1:6" ht="15">
      <c r="A14" s="137" t="s">
        <v>149</v>
      </c>
      <c r="B14" s="138"/>
      <c r="C14" s="138" t="s">
        <v>150</v>
      </c>
      <c r="D14" s="343">
        <f>SUM(D16:D19)</f>
        <v>104</v>
      </c>
      <c r="E14" s="343">
        <f>SUM(E16:E19)</f>
        <v>1933</v>
      </c>
      <c r="F14" s="347">
        <f>SUM(D14:E14)</f>
        <v>2037</v>
      </c>
    </row>
    <row r="15" spans="1:6" ht="15">
      <c r="A15" s="496" t="s">
        <v>141</v>
      </c>
      <c r="B15" s="496"/>
      <c r="C15" s="130" t="s">
        <v>151</v>
      </c>
      <c r="D15" s="345"/>
      <c r="E15" s="345"/>
      <c r="F15" s="346"/>
    </row>
    <row r="16" spans="1:6" ht="15">
      <c r="A16" s="496" t="s">
        <v>143</v>
      </c>
      <c r="B16" s="496"/>
      <c r="C16" s="130" t="s">
        <v>152</v>
      </c>
      <c r="D16" s="345"/>
      <c r="E16" s="345"/>
      <c r="F16" s="346">
        <f>SUM(D16:E16)</f>
        <v>0</v>
      </c>
    </row>
    <row r="17" spans="1:6" ht="15">
      <c r="A17" s="496" t="s">
        <v>145</v>
      </c>
      <c r="B17" s="496"/>
      <c r="C17" s="130" t="s">
        <v>153</v>
      </c>
      <c r="D17" s="345"/>
      <c r="E17" s="345"/>
      <c r="F17" s="346"/>
    </row>
    <row r="18" spans="1:6" ht="15">
      <c r="A18" s="496" t="s">
        <v>147</v>
      </c>
      <c r="B18" s="496"/>
      <c r="C18" s="130" t="s">
        <v>154</v>
      </c>
      <c r="D18" s="345">
        <v>12</v>
      </c>
      <c r="E18" s="345">
        <v>1933</v>
      </c>
      <c r="F18" s="346"/>
    </row>
    <row r="19" spans="1:6" ht="15">
      <c r="A19" s="496" t="s">
        <v>155</v>
      </c>
      <c r="B19" s="496"/>
      <c r="C19" s="130" t="s">
        <v>156</v>
      </c>
      <c r="D19" s="345">
        <v>92</v>
      </c>
      <c r="E19" s="345"/>
      <c r="F19" s="346">
        <f>SUM(D19:E19)</f>
        <v>92</v>
      </c>
    </row>
    <row r="20" spans="1:6" ht="9" customHeight="1">
      <c r="A20" s="135"/>
      <c r="B20" s="130"/>
      <c r="C20" s="130"/>
      <c r="D20" s="345"/>
      <c r="E20" s="345"/>
      <c r="F20" s="346"/>
    </row>
    <row r="21" spans="1:6" ht="24.75" customHeight="1">
      <c r="A21" s="140" t="s">
        <v>157</v>
      </c>
      <c r="B21" s="141"/>
      <c r="C21" s="142"/>
      <c r="D21" s="348">
        <f>SUM(D8,D14)</f>
        <v>155</v>
      </c>
      <c r="E21" s="348">
        <f>SUM(E8,E14)</f>
        <v>2093</v>
      </c>
      <c r="F21" s="349">
        <f>SUM(F8,F14)</f>
        <v>2248</v>
      </c>
    </row>
    <row r="22" spans="1:6" ht="24.75" customHeight="1">
      <c r="A22" s="497" t="s">
        <v>158</v>
      </c>
      <c r="B22" s="497"/>
      <c r="C22" s="497"/>
      <c r="D22" s="350" t="s">
        <v>136</v>
      </c>
      <c r="E22" s="350" t="s">
        <v>137</v>
      </c>
      <c r="F22" s="351" t="s">
        <v>159</v>
      </c>
    </row>
    <row r="23" spans="1:6" ht="15">
      <c r="A23" s="135"/>
      <c r="B23" s="130"/>
      <c r="C23" s="130"/>
      <c r="D23" s="345"/>
      <c r="E23" s="345"/>
      <c r="F23" s="342"/>
    </row>
    <row r="24" spans="1:6" ht="15">
      <c r="A24" s="137" t="s">
        <v>160</v>
      </c>
      <c r="B24" s="138"/>
      <c r="C24" s="138" t="s">
        <v>161</v>
      </c>
      <c r="D24" s="343">
        <f>SUM(D25:D26)</f>
        <v>-137</v>
      </c>
      <c r="E24" s="343">
        <v>-150</v>
      </c>
      <c r="F24" s="347">
        <f>SUM(D24:E24)</f>
        <v>-287</v>
      </c>
    </row>
    <row r="25" spans="1:6" ht="15">
      <c r="A25" s="496" t="s">
        <v>141</v>
      </c>
      <c r="B25" s="496"/>
      <c r="C25" s="130" t="s">
        <v>162</v>
      </c>
      <c r="D25" s="345"/>
      <c r="E25" s="345"/>
      <c r="F25" s="346"/>
    </row>
    <row r="26" spans="1:6" ht="15">
      <c r="A26" s="496" t="s">
        <v>143</v>
      </c>
      <c r="B26" s="496"/>
      <c r="C26" s="130" t="s">
        <v>163</v>
      </c>
      <c r="D26" s="345">
        <v>-137</v>
      </c>
      <c r="E26" s="345">
        <v>-150</v>
      </c>
      <c r="F26" s="346">
        <f>SUM(D26:E26)</f>
        <v>-287</v>
      </c>
    </row>
    <row r="27" spans="1:6" ht="15">
      <c r="A27" s="135"/>
      <c r="B27" s="130"/>
      <c r="C27" s="130"/>
      <c r="D27" s="345"/>
      <c r="E27" s="345"/>
      <c r="F27" s="346"/>
    </row>
    <row r="28" spans="1:6" ht="15">
      <c r="A28" s="137" t="s">
        <v>164</v>
      </c>
      <c r="B28" s="138"/>
      <c r="C28" s="138" t="s">
        <v>165</v>
      </c>
      <c r="D28" s="343">
        <f>SUM(D29:D30)</f>
        <v>91</v>
      </c>
      <c r="E28" s="343">
        <f>SUM(E29:E30)</f>
        <v>1933</v>
      </c>
      <c r="F28" s="347">
        <f>SUM(D28:E28)</f>
        <v>2024</v>
      </c>
    </row>
    <row r="29" spans="1:6" ht="15">
      <c r="A29" s="496" t="s">
        <v>141</v>
      </c>
      <c r="B29" s="496"/>
      <c r="C29" s="130" t="s">
        <v>166</v>
      </c>
      <c r="D29" s="345">
        <v>91</v>
      </c>
      <c r="E29" s="345">
        <v>1933</v>
      </c>
      <c r="F29" s="346">
        <f>SUM(D29:E29)</f>
        <v>2024</v>
      </c>
    </row>
    <row r="30" spans="1:6" ht="15">
      <c r="A30" s="496" t="s">
        <v>143</v>
      </c>
      <c r="B30" s="496"/>
      <c r="C30" s="130" t="s">
        <v>167</v>
      </c>
      <c r="D30" s="345"/>
      <c r="E30" s="345"/>
      <c r="F30" s="346"/>
    </row>
    <row r="31" spans="1:6" ht="15">
      <c r="A31" s="135"/>
      <c r="B31" s="130"/>
      <c r="C31" s="130"/>
      <c r="D31" s="345"/>
      <c r="E31" s="345"/>
      <c r="F31" s="346"/>
    </row>
    <row r="32" spans="1:6" ht="15">
      <c r="A32" s="137" t="s">
        <v>168</v>
      </c>
      <c r="B32" s="138"/>
      <c r="C32" s="138" t="s">
        <v>169</v>
      </c>
      <c r="D32" s="343">
        <f>SUM(D34:D36)</f>
        <v>201</v>
      </c>
      <c r="E32" s="343">
        <f>SUM(E34:E36)</f>
        <v>310</v>
      </c>
      <c r="F32" s="344">
        <f>SUM(F34:F36)</f>
        <v>511</v>
      </c>
    </row>
    <row r="33" spans="1:6" ht="7.5" customHeight="1">
      <c r="A33" s="135"/>
      <c r="B33" s="130"/>
      <c r="C33" s="130"/>
      <c r="D33" s="345"/>
      <c r="E33" s="345"/>
      <c r="F33" s="346"/>
    </row>
    <row r="34" spans="1:6" ht="15">
      <c r="A34" s="496" t="s">
        <v>141</v>
      </c>
      <c r="B34" s="496"/>
      <c r="C34" s="130" t="s">
        <v>170</v>
      </c>
      <c r="D34" s="345"/>
      <c r="E34" s="345"/>
      <c r="F34" s="346">
        <f>SUM(D34:E34)</f>
        <v>0</v>
      </c>
    </row>
    <row r="35" spans="1:6" ht="15">
      <c r="A35" s="496" t="s">
        <v>143</v>
      </c>
      <c r="B35" s="496"/>
      <c r="C35" s="130" t="s">
        <v>171</v>
      </c>
      <c r="D35" s="345">
        <v>188</v>
      </c>
      <c r="E35" s="345">
        <v>310</v>
      </c>
      <c r="F35" s="346">
        <f>SUM(D35:E35)</f>
        <v>498</v>
      </c>
    </row>
    <row r="36" spans="1:6" ht="15">
      <c r="A36" s="496" t="s">
        <v>145</v>
      </c>
      <c r="B36" s="496"/>
      <c r="C36" s="130" t="s">
        <v>172</v>
      </c>
      <c r="D36" s="345">
        <v>13</v>
      </c>
      <c r="E36" s="345">
        <v>0</v>
      </c>
      <c r="F36" s="346">
        <f>SUM(D36:E36)</f>
        <v>13</v>
      </c>
    </row>
    <row r="37" spans="1:6" ht="7.5" customHeight="1">
      <c r="A37" s="135"/>
      <c r="B37" s="130"/>
      <c r="C37" s="130"/>
      <c r="D37" s="345"/>
      <c r="E37" s="345"/>
      <c r="F37" s="346"/>
    </row>
    <row r="38" spans="1:6" ht="24.75" customHeight="1">
      <c r="A38" s="140" t="s">
        <v>58</v>
      </c>
      <c r="B38" s="141"/>
      <c r="C38" s="143"/>
      <c r="D38" s="348">
        <f>SUM(D24,D32,D28)</f>
        <v>155</v>
      </c>
      <c r="E38" s="348">
        <f>SUM(E24,E28,E32)</f>
        <v>2093</v>
      </c>
      <c r="F38" s="349">
        <f>SUM(F24,F28,F32)</f>
        <v>2248</v>
      </c>
    </row>
  </sheetData>
  <sheetProtection selectLockedCells="1" selectUnlockedCells="1"/>
  <mergeCells count="19">
    <mergeCell ref="A3:F3"/>
    <mergeCell ref="A6:C6"/>
    <mergeCell ref="A9:B9"/>
    <mergeCell ref="A10:B10"/>
    <mergeCell ref="A11:B11"/>
    <mergeCell ref="A12:B12"/>
    <mergeCell ref="A15:B15"/>
    <mergeCell ref="A16:B16"/>
    <mergeCell ref="A17:B17"/>
    <mergeCell ref="A18:B18"/>
    <mergeCell ref="A19:B19"/>
    <mergeCell ref="A22:C22"/>
    <mergeCell ref="A34:B34"/>
    <mergeCell ref="A35:B35"/>
    <mergeCell ref="A36:B36"/>
    <mergeCell ref="A25:B25"/>
    <mergeCell ref="A26:B26"/>
    <mergeCell ref="A29:B29"/>
    <mergeCell ref="A30:B30"/>
  </mergeCells>
  <printOptions horizontalCentered="1"/>
  <pageMargins left="0.24027777777777778" right="0.2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K34"/>
  <sheetViews>
    <sheetView workbookViewId="0" topLeftCell="A1">
      <selection activeCell="N13" sqref="N13"/>
    </sheetView>
  </sheetViews>
  <sheetFormatPr defaultColWidth="9.140625" defaultRowHeight="12.75"/>
  <cols>
    <col min="1" max="1" width="5.57421875" style="144" customWidth="1"/>
    <col min="2" max="2" width="32.421875" style="144" customWidth="1"/>
    <col min="3" max="3" width="7.421875" style="144" customWidth="1"/>
    <col min="4" max="4" width="9.7109375" style="144" customWidth="1"/>
    <col min="5" max="5" width="8.140625" style="144" customWidth="1"/>
    <col min="6" max="6" width="7.140625" style="144" customWidth="1"/>
    <col min="7" max="7" width="9.8515625" style="144" customWidth="1"/>
    <col min="8" max="8" width="8.7109375" style="144" customWidth="1"/>
    <col min="9" max="9" width="7.140625" style="144" customWidth="1"/>
    <col min="10" max="10" width="9.421875" style="144" customWidth="1"/>
    <col min="11" max="11" width="8.28125" style="144" customWidth="1"/>
    <col min="12" max="16384" width="9.140625" style="144" customWidth="1"/>
  </cols>
  <sheetData>
    <row r="1" spans="10:11" ht="12.75">
      <c r="J1" s="500" t="s">
        <v>173</v>
      </c>
      <c r="K1" s="500"/>
    </row>
    <row r="3" spans="1:11" s="146" customFormat="1" ht="15">
      <c r="A3" s="498" t="s">
        <v>174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</row>
    <row r="4" spans="1:11" s="146" customFormat="1" ht="1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6" spans="1:11" ht="12.7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5" t="s">
        <v>3</v>
      </c>
    </row>
    <row r="7" spans="1:11" ht="23.25" customHeight="1">
      <c r="A7" s="501" t="s">
        <v>117</v>
      </c>
      <c r="B7" s="502" t="s">
        <v>61</v>
      </c>
      <c r="C7" s="503" t="s">
        <v>136</v>
      </c>
      <c r="D7" s="503"/>
      <c r="E7" s="503"/>
      <c r="F7" s="504" t="s">
        <v>137</v>
      </c>
      <c r="G7" s="504"/>
      <c r="H7" s="504"/>
      <c r="I7" s="505" t="s">
        <v>138</v>
      </c>
      <c r="J7" s="505"/>
      <c r="K7" s="505"/>
    </row>
    <row r="8" spans="1:11" s="146" customFormat="1" ht="24.75" customHeight="1">
      <c r="A8" s="501"/>
      <c r="B8" s="502"/>
      <c r="C8" s="482" t="s">
        <v>175</v>
      </c>
      <c r="D8" s="482"/>
      <c r="E8" s="483" t="s">
        <v>64</v>
      </c>
      <c r="F8" s="481" t="s">
        <v>175</v>
      </c>
      <c r="G8" s="481"/>
      <c r="H8" s="506" t="s">
        <v>64</v>
      </c>
      <c r="I8" s="507" t="s">
        <v>175</v>
      </c>
      <c r="J8" s="507"/>
      <c r="K8" s="499" t="s">
        <v>64</v>
      </c>
    </row>
    <row r="9" spans="1:11" s="146" customFormat="1" ht="24.75" customHeight="1">
      <c r="A9" s="501"/>
      <c r="B9" s="502"/>
      <c r="C9" s="148" t="s">
        <v>62</v>
      </c>
      <c r="D9" s="149" t="s">
        <v>63</v>
      </c>
      <c r="E9" s="483"/>
      <c r="F9" s="148" t="s">
        <v>62</v>
      </c>
      <c r="G9" s="150" t="s">
        <v>63</v>
      </c>
      <c r="H9" s="506"/>
      <c r="I9" s="151" t="s">
        <v>62</v>
      </c>
      <c r="J9" s="149" t="s">
        <v>63</v>
      </c>
      <c r="K9" s="499"/>
    </row>
    <row r="10" spans="1:11" ht="21" customHeight="1">
      <c r="A10" s="152" t="s">
        <v>176</v>
      </c>
      <c r="B10" s="147" t="s">
        <v>66</v>
      </c>
      <c r="C10" s="153">
        <v>1098</v>
      </c>
      <c r="D10" s="154">
        <v>779</v>
      </c>
      <c r="E10" s="155">
        <v>802</v>
      </c>
      <c r="F10" s="153">
        <v>1032</v>
      </c>
      <c r="G10" s="154">
        <v>1194</v>
      </c>
      <c r="H10" s="156">
        <v>1189</v>
      </c>
      <c r="I10" s="157">
        <f aca="true" t="shared" si="0" ref="I10:K14">SUM(C10+F10)</f>
        <v>2130</v>
      </c>
      <c r="J10" s="154">
        <f t="shared" si="0"/>
        <v>1973</v>
      </c>
      <c r="K10" s="156">
        <f t="shared" si="0"/>
        <v>1991</v>
      </c>
    </row>
    <row r="11" spans="1:11" ht="21" customHeight="1">
      <c r="A11" s="152" t="s">
        <v>177</v>
      </c>
      <c r="B11" s="147" t="s">
        <v>178</v>
      </c>
      <c r="C11" s="153">
        <v>373</v>
      </c>
      <c r="D11" s="154">
        <v>241</v>
      </c>
      <c r="E11" s="155">
        <v>240</v>
      </c>
      <c r="F11" s="153">
        <v>216</v>
      </c>
      <c r="G11" s="154">
        <v>216</v>
      </c>
      <c r="H11" s="156">
        <v>205</v>
      </c>
      <c r="I11" s="157">
        <f t="shared" si="0"/>
        <v>589</v>
      </c>
      <c r="J11" s="154">
        <f t="shared" si="0"/>
        <v>457</v>
      </c>
      <c r="K11" s="156">
        <f t="shared" si="0"/>
        <v>445</v>
      </c>
    </row>
    <row r="12" spans="1:11" ht="21" customHeight="1">
      <c r="A12" s="152" t="s">
        <v>179</v>
      </c>
      <c r="B12" s="147" t="s">
        <v>180</v>
      </c>
      <c r="C12" s="153">
        <v>3529</v>
      </c>
      <c r="D12" s="154">
        <v>5611</v>
      </c>
      <c r="E12" s="155">
        <v>5218</v>
      </c>
      <c r="F12" s="153">
        <v>1252</v>
      </c>
      <c r="G12" s="154">
        <v>3758</v>
      </c>
      <c r="H12" s="156">
        <v>1929</v>
      </c>
      <c r="I12" s="157">
        <f t="shared" si="0"/>
        <v>4781</v>
      </c>
      <c r="J12" s="154">
        <f t="shared" si="0"/>
        <v>9369</v>
      </c>
      <c r="K12" s="156">
        <f t="shared" si="0"/>
        <v>7147</v>
      </c>
    </row>
    <row r="13" spans="1:11" ht="21" customHeight="1">
      <c r="A13" s="152" t="s">
        <v>181</v>
      </c>
      <c r="B13" s="147" t="s">
        <v>182</v>
      </c>
      <c r="C13" s="153"/>
      <c r="D13" s="154">
        <v>1502</v>
      </c>
      <c r="E13" s="155">
        <v>5</v>
      </c>
      <c r="F13" s="153"/>
      <c r="G13" s="154"/>
      <c r="H13" s="156">
        <v>110</v>
      </c>
      <c r="I13" s="157">
        <f t="shared" si="0"/>
        <v>0</v>
      </c>
      <c r="J13" s="154">
        <f t="shared" si="0"/>
        <v>1502</v>
      </c>
      <c r="K13" s="156">
        <f t="shared" si="0"/>
        <v>115</v>
      </c>
    </row>
    <row r="14" spans="1:11" ht="21" customHeight="1">
      <c r="A14" s="152" t="s">
        <v>183</v>
      </c>
      <c r="B14" s="147" t="s">
        <v>184</v>
      </c>
      <c r="C14" s="153"/>
      <c r="D14" s="154"/>
      <c r="E14" s="155">
        <v>1749</v>
      </c>
      <c r="F14" s="153"/>
      <c r="G14" s="154"/>
      <c r="H14" s="156"/>
      <c r="I14" s="157">
        <f t="shared" si="0"/>
        <v>0</v>
      </c>
      <c r="J14" s="154">
        <f t="shared" si="0"/>
        <v>0</v>
      </c>
      <c r="K14" s="156">
        <f t="shared" si="0"/>
        <v>1749</v>
      </c>
    </row>
    <row r="15" spans="1:11" ht="21" customHeight="1">
      <c r="A15" s="152" t="s">
        <v>185</v>
      </c>
      <c r="B15" s="147" t="s">
        <v>72</v>
      </c>
      <c r="C15" s="153"/>
      <c r="D15" s="154"/>
      <c r="E15" s="155"/>
      <c r="F15" s="153"/>
      <c r="G15" s="154"/>
      <c r="H15" s="156"/>
      <c r="I15" s="157"/>
      <c r="J15" s="154"/>
      <c r="K15" s="156"/>
    </row>
    <row r="16" spans="1:11" ht="21" customHeight="1">
      <c r="A16" s="152" t="s">
        <v>186</v>
      </c>
      <c r="B16" s="147" t="s">
        <v>73</v>
      </c>
      <c r="C16" s="153"/>
      <c r="D16" s="154"/>
      <c r="E16" s="155"/>
      <c r="F16" s="153"/>
      <c r="G16" s="154">
        <v>250</v>
      </c>
      <c r="H16" s="156">
        <v>20</v>
      </c>
      <c r="I16" s="157">
        <f aca="true" t="shared" si="1" ref="I16:K17">SUM(C16+F16)</f>
        <v>0</v>
      </c>
      <c r="J16" s="154">
        <f t="shared" si="1"/>
        <v>250</v>
      </c>
      <c r="K16" s="156">
        <f t="shared" si="1"/>
        <v>20</v>
      </c>
    </row>
    <row r="17" spans="1:11" ht="21" customHeight="1">
      <c r="A17" s="152" t="s">
        <v>187</v>
      </c>
      <c r="B17" s="147" t="s">
        <v>188</v>
      </c>
      <c r="C17" s="153"/>
      <c r="D17" s="154"/>
      <c r="E17" s="155"/>
      <c r="F17" s="153"/>
      <c r="G17" s="154"/>
      <c r="H17" s="156"/>
      <c r="I17" s="157">
        <f t="shared" si="1"/>
        <v>0</v>
      </c>
      <c r="J17" s="154">
        <f t="shared" si="1"/>
        <v>0</v>
      </c>
      <c r="K17" s="156">
        <f t="shared" si="1"/>
        <v>0</v>
      </c>
    </row>
    <row r="18" spans="1:11" ht="21" customHeight="1">
      <c r="A18" s="152" t="s">
        <v>189</v>
      </c>
      <c r="B18" s="147" t="s">
        <v>190</v>
      </c>
      <c r="C18" s="153"/>
      <c r="D18" s="154"/>
      <c r="E18" s="155"/>
      <c r="F18" s="153"/>
      <c r="G18" s="154"/>
      <c r="H18" s="156"/>
      <c r="I18" s="157"/>
      <c r="J18" s="154"/>
      <c r="K18" s="156"/>
    </row>
    <row r="19" spans="1:11" s="146" customFormat="1" ht="24" customHeight="1">
      <c r="A19" s="158" t="s">
        <v>28</v>
      </c>
      <c r="B19" s="159" t="s">
        <v>191</v>
      </c>
      <c r="C19" s="160">
        <f aca="true" t="shared" si="2" ref="C19:K19">SUM(C10:C18)</f>
        <v>5000</v>
      </c>
      <c r="D19" s="161">
        <f t="shared" si="2"/>
        <v>8133</v>
      </c>
      <c r="E19" s="162">
        <f t="shared" si="2"/>
        <v>8014</v>
      </c>
      <c r="F19" s="160">
        <f t="shared" si="2"/>
        <v>2500</v>
      </c>
      <c r="G19" s="161">
        <f t="shared" si="2"/>
        <v>5418</v>
      </c>
      <c r="H19" s="163">
        <f t="shared" si="2"/>
        <v>3453</v>
      </c>
      <c r="I19" s="164">
        <f t="shared" si="2"/>
        <v>7500</v>
      </c>
      <c r="J19" s="161">
        <f t="shared" si="2"/>
        <v>13551</v>
      </c>
      <c r="K19" s="163">
        <f t="shared" si="2"/>
        <v>11467</v>
      </c>
    </row>
    <row r="20" spans="1:11" ht="21" customHeight="1">
      <c r="A20" s="152" t="s">
        <v>30</v>
      </c>
      <c r="B20" s="147" t="s">
        <v>85</v>
      </c>
      <c r="C20" s="153"/>
      <c r="D20" s="154"/>
      <c r="E20" s="155"/>
      <c r="F20" s="153"/>
      <c r="G20" s="154"/>
      <c r="H20" s="156"/>
      <c r="I20" s="157"/>
      <c r="J20" s="154"/>
      <c r="K20" s="156"/>
    </row>
    <row r="21" spans="1:11" ht="24" customHeight="1">
      <c r="A21" s="152" t="s">
        <v>32</v>
      </c>
      <c r="B21" s="165" t="s">
        <v>192</v>
      </c>
      <c r="C21" s="153"/>
      <c r="D21" s="154"/>
      <c r="E21" s="155">
        <v>-564</v>
      </c>
      <c r="F21" s="153"/>
      <c r="G21" s="154"/>
      <c r="H21" s="156">
        <v>-714</v>
      </c>
      <c r="I21" s="157"/>
      <c r="J21" s="154"/>
      <c r="K21" s="156">
        <f>SUM(E21+H21)</f>
        <v>-1278</v>
      </c>
    </row>
    <row r="22" spans="1:11" s="146" customFormat="1" ht="24" customHeight="1">
      <c r="A22" s="158" t="s">
        <v>35</v>
      </c>
      <c r="B22" s="159" t="s">
        <v>193</v>
      </c>
      <c r="C22" s="160">
        <f aca="true" t="shared" si="3" ref="C22:K22">SUM(C19:C21)</f>
        <v>5000</v>
      </c>
      <c r="D22" s="161">
        <f t="shared" si="3"/>
        <v>8133</v>
      </c>
      <c r="E22" s="162">
        <f t="shared" si="3"/>
        <v>7450</v>
      </c>
      <c r="F22" s="160">
        <f t="shared" si="3"/>
        <v>2500</v>
      </c>
      <c r="G22" s="161">
        <f t="shared" si="3"/>
        <v>5418</v>
      </c>
      <c r="H22" s="163">
        <f t="shared" si="3"/>
        <v>2739</v>
      </c>
      <c r="I22" s="164">
        <f t="shared" si="3"/>
        <v>7500</v>
      </c>
      <c r="J22" s="161">
        <f t="shared" si="3"/>
        <v>13551</v>
      </c>
      <c r="K22" s="163">
        <f t="shared" si="3"/>
        <v>10189</v>
      </c>
    </row>
    <row r="23" spans="1:11" ht="21" customHeight="1">
      <c r="A23" s="152" t="s">
        <v>37</v>
      </c>
      <c r="B23" s="147" t="s">
        <v>89</v>
      </c>
      <c r="C23" s="153"/>
      <c r="D23" s="154">
        <v>81</v>
      </c>
      <c r="E23" s="155">
        <v>53</v>
      </c>
      <c r="F23" s="153"/>
      <c r="G23" s="154">
        <v>118</v>
      </c>
      <c r="H23" s="156">
        <v>86</v>
      </c>
      <c r="I23" s="157"/>
      <c r="J23" s="154">
        <f>SUM(D23+G23)</f>
        <v>199</v>
      </c>
      <c r="K23" s="166">
        <f>SUM(E23+H23)</f>
        <v>139</v>
      </c>
    </row>
    <row r="24" spans="1:11" ht="25.5" customHeight="1">
      <c r="A24" s="152" t="s">
        <v>39</v>
      </c>
      <c r="B24" s="165" t="s">
        <v>194</v>
      </c>
      <c r="C24" s="153"/>
      <c r="D24" s="154"/>
      <c r="E24" s="155"/>
      <c r="F24" s="153"/>
      <c r="G24" s="154"/>
      <c r="H24" s="156"/>
      <c r="I24" s="157"/>
      <c r="J24" s="154"/>
      <c r="K24" s="156"/>
    </row>
    <row r="25" spans="1:11" ht="21" customHeight="1">
      <c r="A25" s="152" t="s">
        <v>41</v>
      </c>
      <c r="B25" s="147" t="s">
        <v>93</v>
      </c>
      <c r="C25" s="153"/>
      <c r="D25" s="154"/>
      <c r="E25" s="155"/>
      <c r="F25" s="153"/>
      <c r="G25" s="154"/>
      <c r="H25" s="156"/>
      <c r="I25" s="157"/>
      <c r="J25" s="154"/>
      <c r="K25" s="156"/>
    </row>
    <row r="26" spans="1:11" ht="27" customHeight="1">
      <c r="A26" s="152" t="s">
        <v>43</v>
      </c>
      <c r="B26" s="165" t="s">
        <v>195</v>
      </c>
      <c r="C26" s="153"/>
      <c r="D26" s="154"/>
      <c r="E26" s="155"/>
      <c r="F26" s="153"/>
      <c r="G26" s="154"/>
      <c r="H26" s="156"/>
      <c r="I26" s="157"/>
      <c r="J26" s="154"/>
      <c r="K26" s="156"/>
    </row>
    <row r="27" spans="1:11" ht="25.5" customHeight="1">
      <c r="A27" s="152" t="s">
        <v>45</v>
      </c>
      <c r="B27" s="165" t="s">
        <v>196</v>
      </c>
      <c r="C27" s="153">
        <v>5000</v>
      </c>
      <c r="D27" s="154">
        <v>7416</v>
      </c>
      <c r="E27" s="155">
        <v>7416</v>
      </c>
      <c r="F27" s="153">
        <v>2500</v>
      </c>
      <c r="G27" s="154">
        <v>4592</v>
      </c>
      <c r="H27" s="156">
        <v>4592</v>
      </c>
      <c r="I27" s="157">
        <f>SUM(C27+F27)</f>
        <v>7500</v>
      </c>
      <c r="J27" s="154">
        <f>SUM(D27+G27)</f>
        <v>12008</v>
      </c>
      <c r="K27" s="156">
        <f>SUM(E27+H27)</f>
        <v>12008</v>
      </c>
    </row>
    <row r="28" spans="1:11" ht="25.5" customHeight="1">
      <c r="A28" s="152" t="s">
        <v>47</v>
      </c>
      <c r="B28" s="165" t="s">
        <v>197</v>
      </c>
      <c r="C28" s="153"/>
      <c r="D28" s="154">
        <v>761</v>
      </c>
      <c r="E28" s="155">
        <v>761</v>
      </c>
      <c r="F28" s="153"/>
      <c r="G28" s="154">
        <v>774</v>
      </c>
      <c r="H28" s="156">
        <v>774</v>
      </c>
      <c r="I28" s="157"/>
      <c r="J28" s="154">
        <v>1535</v>
      </c>
      <c r="K28" s="156">
        <f>SUM(E28+H28)</f>
        <v>1535</v>
      </c>
    </row>
    <row r="29" spans="1:11" ht="21" customHeight="1">
      <c r="A29" s="152" t="s">
        <v>49</v>
      </c>
      <c r="B29" s="147" t="s">
        <v>198</v>
      </c>
      <c r="C29" s="153"/>
      <c r="D29" s="154"/>
      <c r="E29" s="155"/>
      <c r="F29" s="153"/>
      <c r="G29" s="154"/>
      <c r="H29" s="156"/>
      <c r="I29" s="157"/>
      <c r="J29" s="154"/>
      <c r="K29" s="156"/>
    </row>
    <row r="30" spans="1:11" ht="21" customHeight="1">
      <c r="A30" s="152" t="s">
        <v>51</v>
      </c>
      <c r="B30" s="147" t="s">
        <v>199</v>
      </c>
      <c r="C30" s="153"/>
      <c r="D30" s="154"/>
      <c r="E30" s="155"/>
      <c r="F30" s="153"/>
      <c r="G30" s="154"/>
      <c r="H30" s="156"/>
      <c r="I30" s="157"/>
      <c r="J30" s="154"/>
      <c r="K30" s="156"/>
    </row>
    <row r="31" spans="1:11" s="146" customFormat="1" ht="31.5" customHeight="1">
      <c r="A31" s="158" t="s">
        <v>53</v>
      </c>
      <c r="B31" s="167" t="s">
        <v>200</v>
      </c>
      <c r="C31" s="160">
        <f>SUM(C23:C30)</f>
        <v>5000</v>
      </c>
      <c r="D31" s="161">
        <f>SUM(D23:D27,D29:D30)</f>
        <v>7497</v>
      </c>
      <c r="E31" s="162">
        <f>SUM(E23:E27,E29:E30)</f>
        <v>7469</v>
      </c>
      <c r="F31" s="160">
        <f>SUM(F23:F30)</f>
        <v>2500</v>
      </c>
      <c r="G31" s="161">
        <f>SUM(G23:G27,G29:G30)</f>
        <v>4710</v>
      </c>
      <c r="H31" s="163">
        <f>SUM(H23:H27,H29:H30)</f>
        <v>4678</v>
      </c>
      <c r="I31" s="160">
        <f>SUM(I27:I30)</f>
        <v>7500</v>
      </c>
      <c r="J31" s="161">
        <f>SUM(J23:J27,J29:J30)</f>
        <v>12207</v>
      </c>
      <c r="K31" s="163">
        <f>SUM(K23:K27,K29:K30)</f>
        <v>12147</v>
      </c>
    </row>
    <row r="32" spans="1:11" ht="21" customHeight="1">
      <c r="A32" s="152" t="s">
        <v>55</v>
      </c>
      <c r="B32" s="147" t="s">
        <v>108</v>
      </c>
      <c r="C32" s="153"/>
      <c r="D32" s="154">
        <v>636</v>
      </c>
      <c r="E32" s="155">
        <v>636</v>
      </c>
      <c r="F32" s="153"/>
      <c r="G32" s="154">
        <v>708</v>
      </c>
      <c r="H32" s="156">
        <v>708</v>
      </c>
      <c r="I32" s="157"/>
      <c r="J32" s="154">
        <f>SUM(D32+G32)</f>
        <v>1344</v>
      </c>
      <c r="K32" s="166">
        <f>SUM(E32+H32)</f>
        <v>1344</v>
      </c>
    </row>
    <row r="33" spans="1:11" ht="26.25" customHeight="1">
      <c r="A33" s="152" t="s">
        <v>57</v>
      </c>
      <c r="B33" s="165" t="s">
        <v>201</v>
      </c>
      <c r="C33" s="153"/>
      <c r="D33" s="154"/>
      <c r="E33" s="155">
        <v>-7</v>
      </c>
      <c r="F33" s="153"/>
      <c r="G33" s="154"/>
      <c r="H33" s="156">
        <v>-6</v>
      </c>
      <c r="I33" s="157"/>
      <c r="J33" s="154"/>
      <c r="K33" s="156">
        <f>SUM(E33+H33)</f>
        <v>-13</v>
      </c>
    </row>
    <row r="34" spans="1:11" s="146" customFormat="1" ht="24" customHeight="1">
      <c r="A34" s="158" t="s">
        <v>202</v>
      </c>
      <c r="B34" s="159" t="s">
        <v>203</v>
      </c>
      <c r="C34" s="160">
        <f aca="true" t="shared" si="4" ref="C34:K34">SUM(C31:C33)</f>
        <v>5000</v>
      </c>
      <c r="D34" s="161">
        <f t="shared" si="4"/>
        <v>8133</v>
      </c>
      <c r="E34" s="162">
        <f t="shared" si="4"/>
        <v>8098</v>
      </c>
      <c r="F34" s="160">
        <f t="shared" si="4"/>
        <v>2500</v>
      </c>
      <c r="G34" s="161">
        <f t="shared" si="4"/>
        <v>5418</v>
      </c>
      <c r="H34" s="163">
        <f t="shared" si="4"/>
        <v>5380</v>
      </c>
      <c r="I34" s="164">
        <f t="shared" si="4"/>
        <v>7500</v>
      </c>
      <c r="J34" s="161">
        <f t="shared" si="4"/>
        <v>13551</v>
      </c>
      <c r="K34" s="163">
        <f t="shared" si="4"/>
        <v>13478</v>
      </c>
    </row>
  </sheetData>
  <sheetProtection selectLockedCells="1" selectUnlockedCells="1"/>
  <mergeCells count="13">
    <mergeCell ref="F8:G8"/>
    <mergeCell ref="H8:H9"/>
    <mergeCell ref="I8:J8"/>
    <mergeCell ref="K8:K9"/>
    <mergeCell ref="J1:K1"/>
    <mergeCell ref="A3:K3"/>
    <mergeCell ref="A7:A9"/>
    <mergeCell ref="B7:B9"/>
    <mergeCell ref="C7:E7"/>
    <mergeCell ref="F7:H7"/>
    <mergeCell ref="I7:K7"/>
    <mergeCell ref="C8:D8"/>
    <mergeCell ref="E8:E9"/>
  </mergeCells>
  <printOptions horizontalCentered="1"/>
  <pageMargins left="0.24027777777777778" right="0.2361111111111111" top="0.6298611111111111" bottom="0.6298611111111111" header="0.5118055555555555" footer="0.5118055555555555"/>
  <pageSetup horizontalDpi="300" verticalDpi="3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F34"/>
  <sheetViews>
    <sheetView workbookViewId="0" topLeftCell="A3">
      <selection activeCell="D14" sqref="D14"/>
    </sheetView>
  </sheetViews>
  <sheetFormatPr defaultColWidth="9.140625" defaultRowHeight="12.75"/>
  <cols>
    <col min="1" max="1" width="6.28125" style="168" customWidth="1"/>
    <col min="2" max="2" width="41.57421875" style="168" customWidth="1"/>
    <col min="3" max="3" width="11.421875" style="126" customWidth="1"/>
    <col min="4" max="4" width="11.7109375" style="126" customWidth="1"/>
    <col min="5" max="5" width="15.7109375" style="126" customWidth="1"/>
    <col min="6" max="16384" width="9.140625" style="168" customWidth="1"/>
  </cols>
  <sheetData>
    <row r="1" spans="2:5" ht="15">
      <c r="B1" s="168" t="s">
        <v>132</v>
      </c>
      <c r="E1" s="169" t="s">
        <v>204</v>
      </c>
    </row>
    <row r="2" spans="3:5" ht="15">
      <c r="C2" s="170"/>
      <c r="D2" s="170"/>
      <c r="E2" s="170"/>
    </row>
    <row r="3" spans="3:5" ht="15">
      <c r="C3" s="170"/>
      <c r="D3" s="170"/>
      <c r="E3" s="170"/>
    </row>
    <row r="4" spans="1:5" ht="15">
      <c r="A4" s="508" t="s">
        <v>205</v>
      </c>
      <c r="B4" s="508"/>
      <c r="C4" s="508"/>
      <c r="D4" s="508"/>
      <c r="E4" s="508"/>
    </row>
    <row r="5" spans="1:5" ht="15">
      <c r="A5" s="171"/>
      <c r="B5" s="171"/>
      <c r="C5" s="129"/>
      <c r="D5" s="129"/>
      <c r="E5" s="129"/>
    </row>
    <row r="6" spans="1:5" ht="15">
      <c r="A6" s="171"/>
      <c r="B6" s="171"/>
      <c r="C6" s="129"/>
      <c r="D6" s="129"/>
      <c r="E6" s="129"/>
    </row>
    <row r="7" spans="1:5" ht="18" customHeight="1">
      <c r="A7" s="172"/>
      <c r="B7" s="172"/>
      <c r="C7" s="131"/>
      <c r="D7" s="131"/>
      <c r="E7" s="173" t="s">
        <v>3</v>
      </c>
    </row>
    <row r="8" spans="1:5" ht="11.25" customHeight="1">
      <c r="A8" s="509" t="s">
        <v>117</v>
      </c>
      <c r="B8" s="510" t="s">
        <v>206</v>
      </c>
      <c r="C8" s="511" t="s">
        <v>136</v>
      </c>
      <c r="D8" s="511" t="s">
        <v>137</v>
      </c>
      <c r="E8" s="512" t="s">
        <v>207</v>
      </c>
    </row>
    <row r="9" spans="1:5" ht="18" customHeight="1">
      <c r="A9" s="509"/>
      <c r="B9" s="510"/>
      <c r="C9" s="511"/>
      <c r="D9" s="511"/>
      <c r="E9" s="512"/>
    </row>
    <row r="10" spans="1:5" ht="15">
      <c r="A10" s="509"/>
      <c r="B10" s="510"/>
      <c r="C10" s="511"/>
      <c r="D10" s="511"/>
      <c r="E10" s="512"/>
    </row>
    <row r="11" spans="1:6" ht="20.25" customHeight="1">
      <c r="A11" s="176" t="s">
        <v>10</v>
      </c>
      <c r="B11" s="177" t="s">
        <v>118</v>
      </c>
      <c r="C11" s="178">
        <v>12</v>
      </c>
      <c r="D11" s="178">
        <v>1933</v>
      </c>
      <c r="E11" s="179">
        <f>SUM(C11:D11)</f>
        <v>1945</v>
      </c>
      <c r="F11" s="126"/>
    </row>
    <row r="12" spans="1:5" ht="20.25" customHeight="1">
      <c r="A12" s="180" t="s">
        <v>12</v>
      </c>
      <c r="B12" s="174" t="s">
        <v>208</v>
      </c>
      <c r="C12" s="139"/>
      <c r="D12" s="139"/>
      <c r="E12" s="175"/>
    </row>
    <row r="13" spans="1:5" ht="20.25" customHeight="1">
      <c r="A13" s="180"/>
      <c r="B13" s="174" t="s">
        <v>209</v>
      </c>
      <c r="C13" s="139"/>
      <c r="D13" s="139"/>
      <c r="E13" s="175"/>
    </row>
    <row r="14" spans="1:6" ht="20.25" customHeight="1">
      <c r="A14" s="176"/>
      <c r="B14" s="177" t="s">
        <v>210</v>
      </c>
      <c r="C14" s="178">
        <v>79</v>
      </c>
      <c r="D14" s="178"/>
      <c r="E14" s="179">
        <f>SUM(C14:D14)</f>
        <v>79</v>
      </c>
      <c r="F14" s="126"/>
    </row>
    <row r="15" spans="1:5" ht="20.25" customHeight="1">
      <c r="A15" s="180" t="s">
        <v>14</v>
      </c>
      <c r="B15" s="174" t="s">
        <v>211</v>
      </c>
      <c r="C15" s="139"/>
      <c r="D15" s="139"/>
      <c r="E15" s="175"/>
    </row>
    <row r="16" spans="1:5" ht="20.25" customHeight="1">
      <c r="A16" s="176"/>
      <c r="B16" s="177" t="s">
        <v>212</v>
      </c>
      <c r="C16" s="178"/>
      <c r="D16" s="178"/>
      <c r="E16" s="179"/>
    </row>
    <row r="17" spans="1:5" ht="20.25" customHeight="1">
      <c r="A17" s="180" t="s">
        <v>16</v>
      </c>
      <c r="B17" s="174" t="s">
        <v>213</v>
      </c>
      <c r="C17" s="139"/>
      <c r="D17" s="139"/>
      <c r="E17" s="175"/>
    </row>
    <row r="18" spans="1:5" ht="20.25" customHeight="1">
      <c r="A18" s="176"/>
      <c r="B18" s="177" t="s">
        <v>214</v>
      </c>
      <c r="C18" s="178"/>
      <c r="D18" s="178"/>
      <c r="E18" s="179"/>
    </row>
    <row r="19" spans="1:5" ht="20.25" customHeight="1">
      <c r="A19" s="180" t="s">
        <v>18</v>
      </c>
      <c r="B19" s="174" t="s">
        <v>215</v>
      </c>
      <c r="C19" s="139"/>
      <c r="D19" s="139"/>
      <c r="E19" s="175"/>
    </row>
    <row r="20" spans="1:5" ht="20.25" customHeight="1">
      <c r="A20" s="176"/>
      <c r="B20" s="177" t="s">
        <v>216</v>
      </c>
      <c r="C20" s="178">
        <v>91</v>
      </c>
      <c r="D20" s="178">
        <v>1933</v>
      </c>
      <c r="E20" s="179">
        <f>SUM(C20:D20)</f>
        <v>2024</v>
      </c>
    </row>
    <row r="21" spans="1:5" ht="20.25" customHeight="1">
      <c r="A21" s="180" t="s">
        <v>20</v>
      </c>
      <c r="B21" s="174" t="s">
        <v>217</v>
      </c>
      <c r="C21" s="139"/>
      <c r="D21" s="139"/>
      <c r="E21" s="175"/>
    </row>
    <row r="22" spans="1:5" ht="20.25" customHeight="1">
      <c r="A22" s="176"/>
      <c r="B22" s="177" t="s">
        <v>218</v>
      </c>
      <c r="C22" s="178"/>
      <c r="D22" s="178"/>
      <c r="E22" s="179"/>
    </row>
    <row r="23" spans="1:5" ht="20.25" customHeight="1">
      <c r="A23" s="180" t="s">
        <v>22</v>
      </c>
      <c r="B23" s="174" t="s">
        <v>219</v>
      </c>
      <c r="C23" s="139"/>
      <c r="D23" s="139"/>
      <c r="E23" s="175"/>
    </row>
    <row r="24" spans="1:5" ht="20.25" customHeight="1">
      <c r="A24" s="176"/>
      <c r="B24" s="177" t="s">
        <v>220</v>
      </c>
      <c r="C24" s="178"/>
      <c r="D24" s="178"/>
      <c r="E24" s="179"/>
    </row>
    <row r="25" spans="1:5" ht="20.25" customHeight="1">
      <c r="A25" s="180" t="s">
        <v>24</v>
      </c>
      <c r="B25" s="174" t="s">
        <v>367</v>
      </c>
      <c r="C25" s="139"/>
      <c r="D25" s="139"/>
      <c r="E25" s="175"/>
    </row>
    <row r="26" spans="1:5" ht="20.25" customHeight="1">
      <c r="A26" s="180"/>
      <c r="B26" s="174" t="s">
        <v>368</v>
      </c>
      <c r="C26" s="139"/>
      <c r="D26" s="139"/>
      <c r="E26" s="175"/>
    </row>
    <row r="27" spans="1:5" ht="20.25" customHeight="1">
      <c r="A27" s="180" t="s">
        <v>26</v>
      </c>
      <c r="B27" s="174" t="s">
        <v>221</v>
      </c>
      <c r="C27" s="139"/>
      <c r="D27" s="139"/>
      <c r="E27" s="175"/>
    </row>
    <row r="28" spans="1:5" ht="20.25" customHeight="1">
      <c r="A28" s="180"/>
      <c r="B28" s="174" t="s">
        <v>222</v>
      </c>
      <c r="C28" s="139"/>
      <c r="D28" s="139"/>
      <c r="E28" s="175"/>
    </row>
    <row r="29" spans="1:5" ht="20.25" customHeight="1">
      <c r="A29" s="176"/>
      <c r="B29" s="177" t="s">
        <v>223</v>
      </c>
      <c r="C29" s="178"/>
      <c r="D29" s="178"/>
      <c r="E29" s="179"/>
    </row>
    <row r="30" spans="1:5" ht="20.25" customHeight="1">
      <c r="A30" s="180" t="s">
        <v>28</v>
      </c>
      <c r="B30" s="174" t="s">
        <v>224</v>
      </c>
      <c r="C30" s="139"/>
      <c r="D30" s="139"/>
      <c r="E30" s="175"/>
    </row>
    <row r="31" spans="1:5" ht="20.25" customHeight="1">
      <c r="A31" s="176"/>
      <c r="B31" s="177" t="s">
        <v>225</v>
      </c>
      <c r="C31" s="178">
        <v>91</v>
      </c>
      <c r="D31" s="178">
        <v>1933</v>
      </c>
      <c r="E31" s="179">
        <f>SUM(C31:D31)</f>
        <v>2024</v>
      </c>
    </row>
    <row r="32" spans="1:5" ht="20.25" customHeight="1">
      <c r="A32" s="180" t="s">
        <v>30</v>
      </c>
      <c r="B32" s="174" t="s">
        <v>226</v>
      </c>
      <c r="C32" s="139"/>
      <c r="D32" s="139"/>
      <c r="E32" s="175"/>
    </row>
    <row r="33" spans="1:5" ht="20.25" customHeight="1">
      <c r="A33" s="180"/>
      <c r="B33" s="174" t="s">
        <v>227</v>
      </c>
      <c r="C33" s="139"/>
      <c r="D33" s="139"/>
      <c r="E33" s="175"/>
    </row>
    <row r="34" spans="1:5" ht="20.25" customHeight="1">
      <c r="A34" s="176"/>
      <c r="B34" s="177" t="s">
        <v>228</v>
      </c>
      <c r="C34" s="178"/>
      <c r="D34" s="178"/>
      <c r="E34" s="179"/>
    </row>
  </sheetData>
  <sheetProtection selectLockedCells="1" selectUnlockedCells="1"/>
  <mergeCells count="6">
    <mergeCell ref="A4:E4"/>
    <mergeCell ref="A8:A10"/>
    <mergeCell ref="B8:B10"/>
    <mergeCell ref="C8:C10"/>
    <mergeCell ref="D8:D10"/>
    <mergeCell ref="E8:E10"/>
  </mergeCells>
  <printOptions horizontalCentered="1"/>
  <pageMargins left="0.31496062992125984" right="0.2362204724409449" top="0.984251968503937" bottom="0.984251968503937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G136"/>
  <sheetViews>
    <sheetView workbookViewId="0" topLeftCell="A64">
      <selection activeCell="J85" sqref="J85"/>
    </sheetView>
  </sheetViews>
  <sheetFormatPr defaultColWidth="9.140625" defaultRowHeight="12.75"/>
  <cols>
    <col min="1" max="1" width="3.8515625" style="181" customWidth="1"/>
    <col min="2" max="2" width="5.8515625" style="182" customWidth="1"/>
    <col min="3" max="3" width="49.7109375" style="181" customWidth="1"/>
    <col min="4" max="4" width="6.8515625" style="183" customWidth="1"/>
    <col min="5" max="5" width="13.8515625" style="181" customWidth="1"/>
    <col min="6" max="6" width="12.7109375" style="181" customWidth="1"/>
    <col min="7" max="7" width="11.8515625" style="181" customWidth="1"/>
    <col min="8" max="16384" width="9.140625" style="181" customWidth="1"/>
  </cols>
  <sheetData>
    <row r="1" ht="12.75">
      <c r="G1" s="184" t="s">
        <v>229</v>
      </c>
    </row>
    <row r="2" spans="1:7" ht="15">
      <c r="A2" s="522" t="s">
        <v>230</v>
      </c>
      <c r="B2" s="522"/>
      <c r="C2" s="522"/>
      <c r="D2" s="522"/>
      <c r="E2" s="522"/>
      <c r="F2" s="522"/>
      <c r="G2" s="522"/>
    </row>
    <row r="3" ht="10.5" customHeight="1"/>
    <row r="4" spans="6:7" ht="12.75">
      <c r="F4" s="186"/>
      <c r="G4" s="186" t="s">
        <v>3</v>
      </c>
    </row>
    <row r="5" spans="1:7" s="189" customFormat="1" ht="30" customHeight="1">
      <c r="A5" s="517" t="s">
        <v>135</v>
      </c>
      <c r="B5" s="517"/>
      <c r="C5" s="517"/>
      <c r="D5" s="518" t="s">
        <v>231</v>
      </c>
      <c r="E5" s="187" t="s">
        <v>232</v>
      </c>
      <c r="F5" s="188" t="s">
        <v>233</v>
      </c>
      <c r="G5" s="513" t="s">
        <v>234</v>
      </c>
    </row>
    <row r="6" spans="1:7" ht="15.75" customHeight="1">
      <c r="A6" s="517"/>
      <c r="B6" s="517"/>
      <c r="C6" s="517"/>
      <c r="D6" s="518"/>
      <c r="E6" s="514" t="s">
        <v>235</v>
      </c>
      <c r="F6" s="514"/>
      <c r="G6" s="513"/>
    </row>
    <row r="7" spans="1:7" ht="15">
      <c r="A7" s="190"/>
      <c r="B7" s="191" t="s">
        <v>10</v>
      </c>
      <c r="C7" s="192" t="s">
        <v>236</v>
      </c>
      <c r="D7" s="193">
        <v>1</v>
      </c>
      <c r="E7" s="194"/>
      <c r="F7" s="194"/>
      <c r="G7" s="195">
        <v>0</v>
      </c>
    </row>
    <row r="8" spans="1:7" ht="12.75">
      <c r="A8" s="196"/>
      <c r="B8" s="197" t="s">
        <v>12</v>
      </c>
      <c r="C8" s="198" t="s">
        <v>237</v>
      </c>
      <c r="D8" s="199">
        <v>2</v>
      </c>
      <c r="E8" s="194"/>
      <c r="F8" s="194"/>
      <c r="G8" s="200">
        <v>0</v>
      </c>
    </row>
    <row r="9" spans="1:7" ht="12.75">
      <c r="A9" s="201"/>
      <c r="B9" s="202" t="s">
        <v>14</v>
      </c>
      <c r="C9" s="203" t="s">
        <v>238</v>
      </c>
      <c r="D9" s="204">
        <v>3</v>
      </c>
      <c r="E9" s="220">
        <v>430320</v>
      </c>
      <c r="F9" s="220">
        <v>344077</v>
      </c>
      <c r="G9" s="200">
        <f>F9/E9*100</f>
        <v>79.95840304889384</v>
      </c>
    </row>
    <row r="10" spans="1:7" ht="12.75">
      <c r="A10" s="205"/>
      <c r="B10" s="202" t="s">
        <v>239</v>
      </c>
      <c r="C10" s="203" t="s">
        <v>240</v>
      </c>
      <c r="D10" s="204">
        <v>4</v>
      </c>
      <c r="E10" s="206">
        <v>14381</v>
      </c>
      <c r="F10" s="206">
        <v>7536</v>
      </c>
      <c r="G10" s="200">
        <f>F10/E10*100</f>
        <v>52.40247548849176</v>
      </c>
    </row>
    <row r="11" spans="1:7" ht="12.75">
      <c r="A11" s="205"/>
      <c r="B11" s="202">
        <v>5</v>
      </c>
      <c r="C11" s="198" t="s">
        <v>241</v>
      </c>
      <c r="D11" s="204">
        <v>5</v>
      </c>
      <c r="E11" s="207"/>
      <c r="F11" s="207"/>
      <c r="G11" s="195">
        <v>0</v>
      </c>
    </row>
    <row r="12" spans="1:7" ht="12.75">
      <c r="A12" s="208"/>
      <c r="B12" s="209" t="s">
        <v>20</v>
      </c>
      <c r="C12" s="210" t="s">
        <v>242</v>
      </c>
      <c r="D12" s="211">
        <v>6</v>
      </c>
      <c r="E12" s="212"/>
      <c r="F12" s="212"/>
      <c r="G12" s="213">
        <v>0</v>
      </c>
    </row>
    <row r="13" spans="1:7" ht="12.75" customHeight="1">
      <c r="A13" s="214" t="s">
        <v>141</v>
      </c>
      <c r="B13" s="520" t="s">
        <v>243</v>
      </c>
      <c r="C13" s="520"/>
      <c r="D13" s="215">
        <v>7</v>
      </c>
      <c r="E13" s="216">
        <f>SUM(E8:E11)</f>
        <v>444701</v>
      </c>
      <c r="F13" s="216">
        <f>SUM(F8:F11)</f>
        <v>351613</v>
      </c>
      <c r="G13" s="217">
        <f>F13/E13*100</f>
        <v>79.0672834106512</v>
      </c>
    </row>
    <row r="14" spans="1:7" ht="12.75">
      <c r="A14" s="196"/>
      <c r="B14" s="197" t="s">
        <v>10</v>
      </c>
      <c r="C14" s="218" t="s">
        <v>244</v>
      </c>
      <c r="D14" s="193">
        <v>8</v>
      </c>
      <c r="E14" s="194">
        <v>50101760</v>
      </c>
      <c r="F14" s="194">
        <v>50141507</v>
      </c>
      <c r="G14" s="195">
        <f>F14/E14*100</f>
        <v>100.07933254240969</v>
      </c>
    </row>
    <row r="15" spans="1:7" ht="12.75">
      <c r="A15" s="201"/>
      <c r="B15" s="219" t="s">
        <v>12</v>
      </c>
      <c r="C15" s="203" t="s">
        <v>245</v>
      </c>
      <c r="D15" s="199">
        <v>9</v>
      </c>
      <c r="E15" s="220">
        <v>1134028</v>
      </c>
      <c r="F15" s="220">
        <v>1030943</v>
      </c>
      <c r="G15" s="200">
        <f>F15/E15*100</f>
        <v>90.90983644142825</v>
      </c>
    </row>
    <row r="16" spans="1:7" ht="12.75">
      <c r="A16" s="201"/>
      <c r="B16" s="219" t="s">
        <v>14</v>
      </c>
      <c r="C16" s="203" t="s">
        <v>246</v>
      </c>
      <c r="D16" s="199">
        <v>10</v>
      </c>
      <c r="E16" s="220">
        <v>324097</v>
      </c>
      <c r="F16" s="220">
        <v>235575</v>
      </c>
      <c r="G16" s="200">
        <f>F16/E16*100</f>
        <v>72.68657222991882</v>
      </c>
    </row>
    <row r="17" spans="1:7" ht="12.75">
      <c r="A17" s="201"/>
      <c r="B17" s="219" t="s">
        <v>16</v>
      </c>
      <c r="C17" s="203" t="s">
        <v>247</v>
      </c>
      <c r="D17" s="199">
        <v>11</v>
      </c>
      <c r="E17" s="220"/>
      <c r="F17" s="220"/>
      <c r="G17" s="200">
        <v>0</v>
      </c>
    </row>
    <row r="18" spans="1:7" ht="12.75">
      <c r="A18" s="205"/>
      <c r="B18" s="202">
        <v>5</v>
      </c>
      <c r="C18" s="198" t="s">
        <v>248</v>
      </c>
      <c r="D18" s="204">
        <v>12</v>
      </c>
      <c r="E18" s="221">
        <v>1123093</v>
      </c>
      <c r="F18" s="221">
        <v>1242218</v>
      </c>
      <c r="G18" s="222">
        <f>F18/E18*100</f>
        <v>110.60686870989313</v>
      </c>
    </row>
    <row r="19" spans="1:7" ht="12.75">
      <c r="A19" s="201"/>
      <c r="B19" s="219">
        <v>6</v>
      </c>
      <c r="C19" s="203" t="s">
        <v>249</v>
      </c>
      <c r="D19" s="199">
        <v>13</v>
      </c>
      <c r="E19" s="220">
        <v>9200</v>
      </c>
      <c r="F19" s="220">
        <v>97503</v>
      </c>
      <c r="G19" s="200">
        <f>F19/E19*100</f>
        <v>1059.8152173913043</v>
      </c>
    </row>
    <row r="20" spans="1:7" ht="12.75">
      <c r="A20" s="205"/>
      <c r="B20" s="219">
        <v>7</v>
      </c>
      <c r="C20" s="198" t="s">
        <v>250</v>
      </c>
      <c r="D20" s="199">
        <v>14</v>
      </c>
      <c r="E20" s="221"/>
      <c r="F20" s="221"/>
      <c r="G20" s="222">
        <v>0</v>
      </c>
    </row>
    <row r="21" spans="1:7" ht="12.75">
      <c r="A21" s="208"/>
      <c r="B21" s="223">
        <v>8</v>
      </c>
      <c r="C21" s="210" t="s">
        <v>251</v>
      </c>
      <c r="D21" s="211">
        <v>15</v>
      </c>
      <c r="E21" s="212"/>
      <c r="F21" s="212"/>
      <c r="G21" s="213">
        <v>0</v>
      </c>
    </row>
    <row r="22" spans="1:7" ht="15.75" customHeight="1">
      <c r="A22" s="214" t="s">
        <v>143</v>
      </c>
      <c r="B22" s="520" t="s">
        <v>252</v>
      </c>
      <c r="C22" s="520"/>
      <c r="D22" s="215">
        <f aca="true" t="shared" si="0" ref="D22:D68">$D21+1</f>
        <v>16</v>
      </c>
      <c r="E22" s="216">
        <f>SUM(E14:E21)</f>
        <v>52692178</v>
      </c>
      <c r="F22" s="216">
        <f>SUM(F14:F21)</f>
        <v>52747746</v>
      </c>
      <c r="G22" s="217">
        <f>F22/E22*100</f>
        <v>100.10545777781286</v>
      </c>
    </row>
    <row r="23" spans="1:7" ht="12.75">
      <c r="A23" s="196"/>
      <c r="B23" s="197" t="s">
        <v>10</v>
      </c>
      <c r="C23" s="218" t="s">
        <v>253</v>
      </c>
      <c r="D23" s="224">
        <f t="shared" si="0"/>
        <v>17</v>
      </c>
      <c r="E23" s="194">
        <v>1385362</v>
      </c>
      <c r="F23" s="194">
        <v>1400962</v>
      </c>
      <c r="G23" s="200">
        <f>F23/E23*100</f>
        <v>101.12605947037669</v>
      </c>
    </row>
    <row r="24" spans="1:7" ht="12.75">
      <c r="A24" s="201"/>
      <c r="B24" s="219" t="s">
        <v>12</v>
      </c>
      <c r="C24" s="203" t="s">
        <v>254</v>
      </c>
      <c r="D24" s="199">
        <f t="shared" si="0"/>
        <v>18</v>
      </c>
      <c r="E24" s="220">
        <v>2431</v>
      </c>
      <c r="F24" s="220">
        <v>2224</v>
      </c>
      <c r="G24" s="200">
        <f>F24/E24*100</f>
        <v>91.48498560263266</v>
      </c>
    </row>
    <row r="25" spans="1:7" ht="12.75">
      <c r="A25" s="205"/>
      <c r="B25" s="202" t="s">
        <v>14</v>
      </c>
      <c r="C25" s="198" t="s">
        <v>255</v>
      </c>
      <c r="D25" s="199">
        <f t="shared" si="0"/>
        <v>19</v>
      </c>
      <c r="E25" s="221">
        <v>100472</v>
      </c>
      <c r="F25" s="221">
        <v>11820</v>
      </c>
      <c r="G25" s="222">
        <f>F25/E25*100</f>
        <v>11.764471693606179</v>
      </c>
    </row>
    <row r="26" spans="1:7" ht="12.75">
      <c r="A26" s="201"/>
      <c r="B26" s="219" t="s">
        <v>16</v>
      </c>
      <c r="C26" s="203" t="s">
        <v>256</v>
      </c>
      <c r="D26" s="199">
        <f t="shared" si="0"/>
        <v>20</v>
      </c>
      <c r="E26" s="220"/>
      <c r="F26" s="220"/>
      <c r="G26" s="222"/>
    </row>
    <row r="27" spans="1:7" ht="12.75">
      <c r="A27" s="201"/>
      <c r="B27" s="219">
        <v>5</v>
      </c>
      <c r="C27" s="203" t="s">
        <v>257</v>
      </c>
      <c r="D27" s="199">
        <f t="shared" si="0"/>
        <v>21</v>
      </c>
      <c r="E27" s="220">
        <v>45819</v>
      </c>
      <c r="F27" s="220">
        <v>40309</v>
      </c>
      <c r="G27" s="222">
        <f>F27/E27*100</f>
        <v>87.97442109168685</v>
      </c>
    </row>
    <row r="28" spans="1:7" ht="12.75">
      <c r="A28" s="208"/>
      <c r="B28" s="225" t="s">
        <v>20</v>
      </c>
      <c r="C28" s="226" t="s">
        <v>258</v>
      </c>
      <c r="D28" s="211">
        <f t="shared" si="0"/>
        <v>22</v>
      </c>
      <c r="E28" s="212"/>
      <c r="F28" s="212"/>
      <c r="G28" s="213">
        <v>0</v>
      </c>
    </row>
    <row r="29" spans="1:7" ht="12.75" customHeight="1">
      <c r="A29" s="214" t="s">
        <v>145</v>
      </c>
      <c r="B29" s="516" t="s">
        <v>259</v>
      </c>
      <c r="C29" s="516"/>
      <c r="D29" s="215">
        <f t="shared" si="0"/>
        <v>23</v>
      </c>
      <c r="E29" s="216">
        <f>SUM(E23:E28)</f>
        <v>1534084</v>
      </c>
      <c r="F29" s="216">
        <f>SUM(F23:F28)</f>
        <v>1455315</v>
      </c>
      <c r="G29" s="217">
        <f>F29/E29*100</f>
        <v>94.86540502345373</v>
      </c>
    </row>
    <row r="30" spans="1:7" ht="12.75">
      <c r="A30" s="227"/>
      <c r="B30" s="228" t="s">
        <v>10</v>
      </c>
      <c r="C30" s="228" t="s">
        <v>148</v>
      </c>
      <c r="D30" s="224">
        <f t="shared" si="0"/>
        <v>24</v>
      </c>
      <c r="E30" s="229">
        <v>8914035</v>
      </c>
      <c r="F30" s="229">
        <v>9176482</v>
      </c>
      <c r="G30" s="230">
        <f>F30/E30*100</f>
        <v>102.94419979279866</v>
      </c>
    </row>
    <row r="31" spans="1:7" ht="12.75">
      <c r="A31" s="201"/>
      <c r="B31" s="231" t="s">
        <v>12</v>
      </c>
      <c r="C31" s="231" t="s">
        <v>260</v>
      </c>
      <c r="D31" s="199">
        <f t="shared" si="0"/>
        <v>25</v>
      </c>
      <c r="E31" s="220">
        <v>8493924</v>
      </c>
      <c r="F31" s="220">
        <v>8661345</v>
      </c>
      <c r="G31" s="200">
        <f>F31/E31*100</f>
        <v>101.97106778916316</v>
      </c>
    </row>
    <row r="32" spans="1:7" ht="12.75">
      <c r="A32" s="201"/>
      <c r="B32" s="231" t="s">
        <v>14</v>
      </c>
      <c r="C32" s="231" t="s">
        <v>261</v>
      </c>
      <c r="D32" s="199">
        <f t="shared" si="0"/>
        <v>26</v>
      </c>
      <c r="E32" s="220"/>
      <c r="F32" s="220"/>
      <c r="G32" s="200">
        <v>0</v>
      </c>
    </row>
    <row r="33" spans="1:7" ht="12.75">
      <c r="A33" s="201"/>
      <c r="B33" s="231" t="s">
        <v>16</v>
      </c>
      <c r="C33" s="231" t="s">
        <v>262</v>
      </c>
      <c r="D33" s="199">
        <f t="shared" si="0"/>
        <v>27</v>
      </c>
      <c r="E33" s="220"/>
      <c r="F33" s="220"/>
      <c r="G33" s="200">
        <v>0</v>
      </c>
    </row>
    <row r="34" spans="1:7" ht="26.25">
      <c r="A34" s="208"/>
      <c r="B34" s="225" t="s">
        <v>18</v>
      </c>
      <c r="C34" s="225" t="s">
        <v>263</v>
      </c>
      <c r="D34" s="211">
        <f t="shared" si="0"/>
        <v>28</v>
      </c>
      <c r="E34" s="212"/>
      <c r="F34" s="212"/>
      <c r="G34" s="213">
        <v>0</v>
      </c>
    </row>
    <row r="35" spans="1:7" ht="12.75" customHeight="1">
      <c r="A35" s="232" t="s">
        <v>147</v>
      </c>
      <c r="B35" s="521" t="s">
        <v>264</v>
      </c>
      <c r="C35" s="521"/>
      <c r="D35" s="215">
        <f t="shared" si="0"/>
        <v>29</v>
      </c>
      <c r="E35" s="233">
        <f>SUM(E30:E34)</f>
        <v>17407959</v>
      </c>
      <c r="F35" s="233">
        <f>SUM(F30:F34)</f>
        <v>17837827</v>
      </c>
      <c r="G35" s="217">
        <f>F35/E35*100</f>
        <v>102.46937622038288</v>
      </c>
    </row>
    <row r="36" spans="1:7" s="189" customFormat="1" ht="20.25" customHeight="1">
      <c r="A36" s="519" t="s">
        <v>265</v>
      </c>
      <c r="B36" s="519"/>
      <c r="C36" s="519"/>
      <c r="D36" s="234">
        <f t="shared" si="0"/>
        <v>30</v>
      </c>
      <c r="E36" s="235">
        <f>SUM(E22+E13+E29+E35)</f>
        <v>72078922</v>
      </c>
      <c r="F36" s="235">
        <f>SUM(F22+F13+F29+F35)</f>
        <v>72392501</v>
      </c>
      <c r="G36" s="236">
        <f>F36/E36*100</f>
        <v>100.4350495141978</v>
      </c>
    </row>
    <row r="37" spans="1:7" ht="12.75">
      <c r="A37" s="196"/>
      <c r="B37" s="191" t="s">
        <v>10</v>
      </c>
      <c r="C37" s="192" t="s">
        <v>266</v>
      </c>
      <c r="D37" s="224">
        <f t="shared" si="0"/>
        <v>31</v>
      </c>
      <c r="E37" s="194">
        <v>10876</v>
      </c>
      <c r="F37" s="194">
        <v>10173</v>
      </c>
      <c r="G37" s="200">
        <f>F37/E37*100</f>
        <v>93.5362265538801</v>
      </c>
    </row>
    <row r="38" spans="1:7" ht="12.75">
      <c r="A38" s="201"/>
      <c r="B38" s="231" t="s">
        <v>12</v>
      </c>
      <c r="C38" s="237" t="s">
        <v>267</v>
      </c>
      <c r="D38" s="199">
        <f t="shared" si="0"/>
        <v>32</v>
      </c>
      <c r="E38" s="220"/>
      <c r="F38" s="220"/>
      <c r="G38" s="200"/>
    </row>
    <row r="39" spans="1:7" ht="17.25" customHeight="1">
      <c r="A39" s="201"/>
      <c r="B39" s="231" t="s">
        <v>14</v>
      </c>
      <c r="C39" s="237" t="s">
        <v>268</v>
      </c>
      <c r="D39" s="199">
        <f t="shared" si="0"/>
        <v>33</v>
      </c>
      <c r="E39" s="220"/>
      <c r="F39" s="220"/>
      <c r="G39" s="200"/>
    </row>
    <row r="40" spans="1:7" ht="12.75">
      <c r="A40" s="201"/>
      <c r="B40" s="231" t="s">
        <v>16</v>
      </c>
      <c r="C40" s="237" t="s">
        <v>269</v>
      </c>
      <c r="D40" s="199">
        <f t="shared" si="0"/>
        <v>34</v>
      </c>
      <c r="E40" s="220">
        <v>304</v>
      </c>
      <c r="F40" s="220">
        <v>251</v>
      </c>
      <c r="G40" s="200">
        <f>F40/E40*100</f>
        <v>82.56578947368422</v>
      </c>
    </row>
    <row r="41" spans="1:7" ht="12.75">
      <c r="A41" s="201"/>
      <c r="B41" s="231" t="s">
        <v>270</v>
      </c>
      <c r="C41" s="237" t="s">
        <v>271</v>
      </c>
      <c r="D41" s="199">
        <f t="shared" si="0"/>
        <v>35</v>
      </c>
      <c r="E41" s="220">
        <v>29180</v>
      </c>
      <c r="F41" s="220">
        <v>181617</v>
      </c>
      <c r="G41" s="200">
        <f>F41/E41*100</f>
        <v>622.4023303632624</v>
      </c>
    </row>
    <row r="42" spans="1:7" ht="11.25" customHeight="1">
      <c r="A42" s="205"/>
      <c r="B42" s="238" t="s">
        <v>272</v>
      </c>
      <c r="C42" s="239" t="s">
        <v>273</v>
      </c>
      <c r="D42" s="211">
        <f t="shared" si="0"/>
        <v>36</v>
      </c>
      <c r="E42" s="240"/>
      <c r="F42" s="240"/>
      <c r="G42" s="222">
        <v>0</v>
      </c>
    </row>
    <row r="43" spans="1:7" ht="15.75" customHeight="1">
      <c r="A43" s="214" t="s">
        <v>141</v>
      </c>
      <c r="B43" s="516" t="s">
        <v>274</v>
      </c>
      <c r="C43" s="516"/>
      <c r="D43" s="215">
        <f t="shared" si="0"/>
        <v>37</v>
      </c>
      <c r="E43" s="216">
        <f>SUM(E37:E42)</f>
        <v>40360</v>
      </c>
      <c r="F43" s="216">
        <f>SUM(F37:F42)</f>
        <v>192041</v>
      </c>
      <c r="G43" s="217">
        <f>F43/E43*100</f>
        <v>475.8201189296333</v>
      </c>
    </row>
    <row r="44" spans="1:7" ht="12.75">
      <c r="A44" s="196"/>
      <c r="B44" s="191" t="s">
        <v>10</v>
      </c>
      <c r="C44" s="192" t="s">
        <v>275</v>
      </c>
      <c r="D44" s="224">
        <f t="shared" si="0"/>
        <v>38</v>
      </c>
      <c r="E44" s="194">
        <v>134727</v>
      </c>
      <c r="F44" s="194">
        <v>124588</v>
      </c>
      <c r="G44" s="195">
        <f>F44/E44*100</f>
        <v>92.47441121675685</v>
      </c>
    </row>
    <row r="45" spans="1:7" ht="12.75">
      <c r="A45" s="196"/>
      <c r="B45" s="191" t="s">
        <v>12</v>
      </c>
      <c r="C45" s="192" t="s">
        <v>276</v>
      </c>
      <c r="D45" s="199">
        <f t="shared" si="0"/>
        <v>39</v>
      </c>
      <c r="E45" s="194">
        <v>197560</v>
      </c>
      <c r="F45" s="194">
        <v>292127</v>
      </c>
      <c r="G45" s="200">
        <f>F45/E45*100</f>
        <v>147.8674832962138</v>
      </c>
    </row>
    <row r="46" spans="1:7" ht="12.75">
      <c r="A46" s="201"/>
      <c r="B46" s="231" t="s">
        <v>14</v>
      </c>
      <c r="C46" s="237" t="s">
        <v>277</v>
      </c>
      <c r="D46" s="199">
        <f t="shared" si="0"/>
        <v>40</v>
      </c>
      <c r="E46" s="220">
        <v>400300</v>
      </c>
      <c r="F46" s="220">
        <v>28000</v>
      </c>
      <c r="G46" s="200"/>
    </row>
    <row r="47" spans="1:7" ht="12.75">
      <c r="A47" s="201"/>
      <c r="B47" s="231" t="s">
        <v>16</v>
      </c>
      <c r="C47" s="237" t="s">
        <v>278</v>
      </c>
      <c r="D47" s="199">
        <f t="shared" si="0"/>
        <v>41</v>
      </c>
      <c r="E47" s="220">
        <v>161837</v>
      </c>
      <c r="F47" s="220">
        <v>857610</v>
      </c>
      <c r="G47" s="200">
        <f>F47/E47*100</f>
        <v>529.9220820949474</v>
      </c>
    </row>
    <row r="48" spans="1:7" ht="12" customHeight="1">
      <c r="A48" s="208"/>
      <c r="B48" s="225" t="s">
        <v>279</v>
      </c>
      <c r="C48" s="241" t="s">
        <v>280</v>
      </c>
      <c r="D48" s="211">
        <f t="shared" si="0"/>
        <v>42</v>
      </c>
      <c r="E48" s="212">
        <v>17113</v>
      </c>
      <c r="F48" s="212">
        <v>629366</v>
      </c>
      <c r="G48" s="213">
        <f>F48/E48*100</f>
        <v>3677.707006369427</v>
      </c>
    </row>
    <row r="49" spans="1:7" ht="12" customHeight="1">
      <c r="A49" s="227"/>
      <c r="B49" s="228"/>
      <c r="C49" s="242" t="s">
        <v>281</v>
      </c>
      <c r="D49" s="224">
        <f t="shared" si="0"/>
        <v>43</v>
      </c>
      <c r="E49" s="229">
        <v>5511</v>
      </c>
      <c r="F49" s="229">
        <v>3881</v>
      </c>
      <c r="G49" s="230">
        <f>F49/E49*100</f>
        <v>70.42279078207223</v>
      </c>
    </row>
    <row r="50" spans="1:7" ht="12" customHeight="1">
      <c r="A50" s="201"/>
      <c r="B50" s="231"/>
      <c r="C50" s="237" t="s">
        <v>282</v>
      </c>
      <c r="D50" s="199">
        <f t="shared" si="0"/>
        <v>44</v>
      </c>
      <c r="E50" s="220"/>
      <c r="F50" s="220">
        <v>61522</v>
      </c>
      <c r="G50" s="200">
        <v>0</v>
      </c>
    </row>
    <row r="51" spans="1:7" ht="12" customHeight="1">
      <c r="A51" s="201"/>
      <c r="B51" s="231"/>
      <c r="C51" s="237" t="s">
        <v>283</v>
      </c>
      <c r="D51" s="199">
        <f t="shared" si="0"/>
        <v>45</v>
      </c>
      <c r="E51" s="220"/>
      <c r="F51" s="220"/>
      <c r="G51" s="200">
        <v>0</v>
      </c>
    </row>
    <row r="52" spans="1:7" ht="12" customHeight="1">
      <c r="A52" s="208"/>
      <c r="B52" s="225"/>
      <c r="C52" s="226" t="s">
        <v>284</v>
      </c>
      <c r="D52" s="211">
        <f t="shared" si="0"/>
        <v>46</v>
      </c>
      <c r="E52" s="212"/>
      <c r="F52" s="212"/>
      <c r="G52" s="213"/>
    </row>
    <row r="53" spans="1:7" ht="12.75" customHeight="1">
      <c r="A53" s="214" t="s">
        <v>143</v>
      </c>
      <c r="B53" s="516" t="s">
        <v>285</v>
      </c>
      <c r="C53" s="516"/>
      <c r="D53" s="211">
        <f t="shared" si="0"/>
        <v>47</v>
      </c>
      <c r="E53" s="216">
        <f>SUM(E44:E47)</f>
        <v>894424</v>
      </c>
      <c r="F53" s="216">
        <f>SUM(F44:F47)</f>
        <v>1302325</v>
      </c>
      <c r="G53" s="217">
        <f>F53/E53*100</f>
        <v>145.60488090659462</v>
      </c>
    </row>
    <row r="54" spans="1:7" ht="12.75">
      <c r="A54" s="227"/>
      <c r="B54" s="228" t="s">
        <v>10</v>
      </c>
      <c r="C54" s="242" t="s">
        <v>286</v>
      </c>
      <c r="D54" s="224">
        <f t="shared" si="0"/>
        <v>48</v>
      </c>
      <c r="E54" s="229"/>
      <c r="F54" s="229"/>
      <c r="G54" s="230">
        <v>0</v>
      </c>
    </row>
    <row r="55" spans="1:7" ht="12.75">
      <c r="A55" s="208"/>
      <c r="B55" s="225" t="s">
        <v>12</v>
      </c>
      <c r="C55" s="226" t="s">
        <v>287</v>
      </c>
      <c r="D55" s="211">
        <f t="shared" si="0"/>
        <v>49</v>
      </c>
      <c r="E55" s="212">
        <v>3883019</v>
      </c>
      <c r="F55" s="212">
        <v>294011</v>
      </c>
      <c r="G55" s="213">
        <v>0</v>
      </c>
    </row>
    <row r="56" spans="1:7" ht="12.75" customHeight="1">
      <c r="A56" s="214" t="s">
        <v>288</v>
      </c>
      <c r="B56" s="516" t="s">
        <v>289</v>
      </c>
      <c r="C56" s="516"/>
      <c r="D56" s="211">
        <f t="shared" si="0"/>
        <v>50</v>
      </c>
      <c r="E56" s="216">
        <f>SUM(E54:E55)</f>
        <v>3883019</v>
      </c>
      <c r="F56" s="216">
        <f>SUM(F54:F55)</f>
        <v>294011</v>
      </c>
      <c r="G56" s="217">
        <v>0</v>
      </c>
    </row>
    <row r="57" spans="1:7" ht="12.75">
      <c r="A57" s="227"/>
      <c r="B57" s="228" t="s">
        <v>10</v>
      </c>
      <c r="C57" s="242" t="s">
        <v>290</v>
      </c>
      <c r="D57" s="224">
        <f t="shared" si="0"/>
        <v>51</v>
      </c>
      <c r="E57" s="229">
        <v>3231</v>
      </c>
      <c r="F57" s="229">
        <v>335</v>
      </c>
      <c r="G57" s="230">
        <f>F57/E57*100</f>
        <v>10.368307025688642</v>
      </c>
    </row>
    <row r="58" spans="1:7" ht="12.75">
      <c r="A58" s="201"/>
      <c r="B58" s="231" t="s">
        <v>12</v>
      </c>
      <c r="C58" s="237" t="s">
        <v>291</v>
      </c>
      <c r="D58" s="199">
        <f t="shared" si="0"/>
        <v>52</v>
      </c>
      <c r="E58" s="220">
        <v>1865570</v>
      </c>
      <c r="F58" s="220">
        <v>2651107</v>
      </c>
      <c r="G58" s="200">
        <f>F58/E58*100</f>
        <v>142.1070771935655</v>
      </c>
    </row>
    <row r="59" spans="1:7" ht="12.75">
      <c r="A59" s="201"/>
      <c r="B59" s="231" t="s">
        <v>14</v>
      </c>
      <c r="C59" s="237" t="s">
        <v>292</v>
      </c>
      <c r="D59" s="199">
        <f t="shared" si="0"/>
        <v>53</v>
      </c>
      <c r="E59" s="220"/>
      <c r="F59" s="220"/>
      <c r="G59" s="200">
        <v>0</v>
      </c>
    </row>
    <row r="60" spans="1:7" ht="12.75">
      <c r="A60" s="208"/>
      <c r="B60" s="225" t="s">
        <v>16</v>
      </c>
      <c r="C60" s="226" t="s">
        <v>293</v>
      </c>
      <c r="D60" s="211">
        <f t="shared" si="0"/>
        <v>54</v>
      </c>
      <c r="E60" s="212">
        <v>16767</v>
      </c>
      <c r="F60" s="212">
        <v>14482</v>
      </c>
      <c r="G60" s="213">
        <f>F60/E60*100</f>
        <v>86.37204031728992</v>
      </c>
    </row>
    <row r="61" spans="1:7" ht="12.75" customHeight="1">
      <c r="A61" s="214" t="s">
        <v>147</v>
      </c>
      <c r="B61" s="516" t="s">
        <v>294</v>
      </c>
      <c r="C61" s="516"/>
      <c r="D61" s="211">
        <f t="shared" si="0"/>
        <v>55</v>
      </c>
      <c r="E61" s="216">
        <f>SUM(E57:E60)</f>
        <v>1885568</v>
      </c>
      <c r="F61" s="216">
        <f>SUM(F57:F60)</f>
        <v>2665924</v>
      </c>
      <c r="G61" s="217">
        <f>F61/E61*100</f>
        <v>141.38572568053763</v>
      </c>
    </row>
    <row r="62" spans="1:7" ht="15.75" customHeight="1">
      <c r="A62" s="227"/>
      <c r="B62" s="228" t="s">
        <v>10</v>
      </c>
      <c r="C62" s="242" t="s">
        <v>295</v>
      </c>
      <c r="D62" s="224">
        <f t="shared" si="0"/>
        <v>56</v>
      </c>
      <c r="E62" s="229">
        <v>459622</v>
      </c>
      <c r="F62" s="229">
        <v>388494</v>
      </c>
      <c r="G62" s="230">
        <f>F62/E62*100</f>
        <v>84.5246746239301</v>
      </c>
    </row>
    <row r="63" spans="1:7" ht="15.75" customHeight="1">
      <c r="A63" s="201"/>
      <c r="B63" s="231" t="s">
        <v>12</v>
      </c>
      <c r="C63" s="237" t="s">
        <v>296</v>
      </c>
      <c r="D63" s="199">
        <f t="shared" si="0"/>
        <v>57</v>
      </c>
      <c r="E63" s="220">
        <v>54753</v>
      </c>
      <c r="F63" s="220">
        <v>562192</v>
      </c>
      <c r="G63" s="200">
        <f>F63/E63*100</f>
        <v>1026.7784413639436</v>
      </c>
    </row>
    <row r="64" spans="1:7" ht="15.75" customHeight="1">
      <c r="A64" s="201"/>
      <c r="B64" s="231" t="s">
        <v>14</v>
      </c>
      <c r="C64" s="237" t="s">
        <v>297</v>
      </c>
      <c r="D64" s="199">
        <f t="shared" si="0"/>
        <v>58</v>
      </c>
      <c r="E64" s="220">
        <v>74704</v>
      </c>
      <c r="F64" s="220">
        <v>45025</v>
      </c>
      <c r="G64" s="200"/>
    </row>
    <row r="65" spans="1:7" ht="15.75" customHeight="1">
      <c r="A65" s="208"/>
      <c r="B65" s="225" t="s">
        <v>16</v>
      </c>
      <c r="C65" s="226" t="s">
        <v>298</v>
      </c>
      <c r="D65" s="211">
        <f t="shared" si="0"/>
        <v>59</v>
      </c>
      <c r="E65" s="212"/>
      <c r="F65" s="212"/>
      <c r="G65" s="213">
        <v>0</v>
      </c>
    </row>
    <row r="66" spans="1:7" ht="12.75" customHeight="1">
      <c r="A66" s="214" t="s">
        <v>155</v>
      </c>
      <c r="B66" s="516" t="s">
        <v>299</v>
      </c>
      <c r="C66" s="516"/>
      <c r="D66" s="211">
        <f t="shared" si="0"/>
        <v>60</v>
      </c>
      <c r="E66" s="216">
        <f>SUM(E62:E65)</f>
        <v>589079</v>
      </c>
      <c r="F66" s="216">
        <f>SUM(F62:F65)</f>
        <v>995711</v>
      </c>
      <c r="G66" s="217">
        <f>F66/E66*100</f>
        <v>169.02843251923764</v>
      </c>
    </row>
    <row r="67" spans="1:7" ht="20.25" customHeight="1">
      <c r="A67" s="243" t="s">
        <v>300</v>
      </c>
      <c r="B67" s="244"/>
      <c r="C67" s="235"/>
      <c r="D67" s="245">
        <f t="shared" si="0"/>
        <v>61</v>
      </c>
      <c r="E67" s="235">
        <f>SUM(E43,E53,E56,E61,E66)</f>
        <v>7292450</v>
      </c>
      <c r="F67" s="235">
        <f>SUM(F43,F53,F56,F61,F66)</f>
        <v>5450012</v>
      </c>
      <c r="G67" s="236">
        <f>F67/E67*100</f>
        <v>74.73499304074763</v>
      </c>
    </row>
    <row r="68" spans="1:7" s="189" customFormat="1" ht="24" customHeight="1">
      <c r="A68" s="246" t="s">
        <v>301</v>
      </c>
      <c r="B68" s="247"/>
      <c r="C68" s="248"/>
      <c r="D68" s="249">
        <f t="shared" si="0"/>
        <v>62</v>
      </c>
      <c r="E68" s="250">
        <f>SUM(E36,E67)</f>
        <v>79371372</v>
      </c>
      <c r="F68" s="250">
        <f>SUM(F36,F67)</f>
        <v>77842513</v>
      </c>
      <c r="G68" s="251">
        <f>F68/E68*100</f>
        <v>98.07379038376708</v>
      </c>
    </row>
    <row r="69" spans="1:7" s="189" customFormat="1" ht="24" customHeight="1">
      <c r="A69" s="252"/>
      <c r="B69" s="253"/>
      <c r="C69" s="252"/>
      <c r="D69" s="185"/>
      <c r="E69" s="252"/>
      <c r="F69" s="252"/>
      <c r="G69" s="252"/>
    </row>
    <row r="71" spans="1:7" ht="12.75" customHeight="1">
      <c r="A71" s="517" t="s">
        <v>158</v>
      </c>
      <c r="B71" s="517"/>
      <c r="C71" s="517"/>
      <c r="D71" s="518" t="s">
        <v>231</v>
      </c>
      <c r="E71" s="187" t="s">
        <v>232</v>
      </c>
      <c r="F71" s="188" t="s">
        <v>233</v>
      </c>
      <c r="G71" s="513" t="s">
        <v>302</v>
      </c>
    </row>
    <row r="72" spans="1:7" ht="15">
      <c r="A72" s="517"/>
      <c r="B72" s="517"/>
      <c r="C72" s="517"/>
      <c r="D72" s="518"/>
      <c r="E72" s="514" t="s">
        <v>235</v>
      </c>
      <c r="F72" s="514"/>
      <c r="G72" s="513"/>
    </row>
    <row r="73" spans="1:7" ht="12.75">
      <c r="A73" s="254"/>
      <c r="B73" s="255" t="s">
        <v>10</v>
      </c>
      <c r="C73" s="194" t="s">
        <v>162</v>
      </c>
      <c r="D73" s="193">
        <v>63</v>
      </c>
      <c r="E73" s="194">
        <v>3310835</v>
      </c>
      <c r="F73" s="194">
        <v>3310835</v>
      </c>
      <c r="G73" s="195">
        <f>F73/E73*100</f>
        <v>100</v>
      </c>
    </row>
    <row r="74" spans="1:7" ht="12.75">
      <c r="A74" s="256"/>
      <c r="B74" s="257" t="s">
        <v>12</v>
      </c>
      <c r="C74" s="220" t="s">
        <v>303</v>
      </c>
      <c r="D74" s="199">
        <f aca="true" t="shared" si="1" ref="D74:D105">$D73+1</f>
        <v>64</v>
      </c>
      <c r="E74" s="220">
        <v>55816769</v>
      </c>
      <c r="F74" s="220">
        <v>53703971</v>
      </c>
      <c r="G74" s="200">
        <f>F74/E74*100</f>
        <v>96.21476119479433</v>
      </c>
    </row>
    <row r="75" spans="1:7" ht="12.75">
      <c r="A75" s="258"/>
      <c r="B75" s="259" t="s">
        <v>14</v>
      </c>
      <c r="C75" s="240" t="s">
        <v>304</v>
      </c>
      <c r="D75" s="211">
        <f t="shared" si="1"/>
        <v>65</v>
      </c>
      <c r="E75" s="240">
        <v>0</v>
      </c>
      <c r="F75" s="240">
        <v>0</v>
      </c>
      <c r="G75" s="200">
        <v>0</v>
      </c>
    </row>
    <row r="76" spans="1:7" s="189" customFormat="1" ht="15">
      <c r="A76" s="243" t="s">
        <v>305</v>
      </c>
      <c r="B76" s="244"/>
      <c r="C76" s="235"/>
      <c r="D76" s="260">
        <f t="shared" si="1"/>
        <v>66</v>
      </c>
      <c r="E76" s="235">
        <f>SUM(E73:E74)</f>
        <v>59127604</v>
      </c>
      <c r="F76" s="235">
        <f>SUM(F73:F74)</f>
        <v>57014806</v>
      </c>
      <c r="G76" s="236">
        <f>F76/E76*100</f>
        <v>96.42671466951374</v>
      </c>
    </row>
    <row r="77" spans="1:7" ht="12.75">
      <c r="A77" s="254"/>
      <c r="B77" s="255" t="s">
        <v>10</v>
      </c>
      <c r="C77" s="194" t="s">
        <v>306</v>
      </c>
      <c r="D77" s="224">
        <f t="shared" si="1"/>
        <v>67</v>
      </c>
      <c r="E77" s="194">
        <v>1778924</v>
      </c>
      <c r="F77" s="194">
        <v>-2025254</v>
      </c>
      <c r="G77" s="200">
        <f>F77/E77*100</f>
        <v>-113.84713455999244</v>
      </c>
    </row>
    <row r="78" spans="1:7" ht="12.75">
      <c r="A78" s="256"/>
      <c r="B78" s="257" t="s">
        <v>307</v>
      </c>
      <c r="C78" s="220"/>
      <c r="D78" s="199">
        <f t="shared" si="1"/>
        <v>68</v>
      </c>
      <c r="E78" s="220">
        <v>1778924</v>
      </c>
      <c r="F78" s="220">
        <v>-2025254</v>
      </c>
      <c r="G78" s="200">
        <f>F78/E78*100</f>
        <v>-113.84713455999244</v>
      </c>
    </row>
    <row r="79" spans="1:7" ht="12.75">
      <c r="A79" s="256"/>
      <c r="B79" s="257"/>
      <c r="C79" s="220" t="s">
        <v>308</v>
      </c>
      <c r="D79" s="199">
        <f t="shared" si="1"/>
        <v>69</v>
      </c>
      <c r="E79" s="220">
        <v>0</v>
      </c>
      <c r="F79" s="220">
        <v>0</v>
      </c>
      <c r="G79" s="200"/>
    </row>
    <row r="80" spans="1:7" ht="12.75">
      <c r="A80" s="256"/>
      <c r="B80" s="257" t="s">
        <v>12</v>
      </c>
      <c r="C80" s="220" t="s">
        <v>221</v>
      </c>
      <c r="D80" s="199">
        <f t="shared" si="1"/>
        <v>70</v>
      </c>
      <c r="E80" s="220"/>
      <c r="F80" s="220">
        <v>3103220</v>
      </c>
      <c r="G80" s="200">
        <v>0</v>
      </c>
    </row>
    <row r="81" spans="1:7" ht="12.75">
      <c r="A81" s="256"/>
      <c r="B81" s="257" t="s">
        <v>14</v>
      </c>
      <c r="C81" s="220" t="s">
        <v>309</v>
      </c>
      <c r="D81" s="199">
        <f t="shared" si="1"/>
        <v>71</v>
      </c>
      <c r="E81" s="220">
        <v>0</v>
      </c>
      <c r="F81" s="220">
        <v>0</v>
      </c>
      <c r="G81" s="200">
        <v>0</v>
      </c>
    </row>
    <row r="82" spans="1:7" ht="12.75">
      <c r="A82" s="256"/>
      <c r="B82" s="257" t="s">
        <v>16</v>
      </c>
      <c r="C82" s="220" t="s">
        <v>310</v>
      </c>
      <c r="D82" s="199">
        <f t="shared" si="1"/>
        <v>72</v>
      </c>
      <c r="E82" s="220">
        <v>0</v>
      </c>
      <c r="F82" s="220">
        <v>0</v>
      </c>
      <c r="G82" s="200">
        <v>0</v>
      </c>
    </row>
    <row r="83" spans="1:7" ht="12.75">
      <c r="A83" s="261"/>
      <c r="B83" s="262" t="s">
        <v>18</v>
      </c>
      <c r="C83" s="221" t="s">
        <v>311</v>
      </c>
      <c r="D83" s="211">
        <f t="shared" si="1"/>
        <v>73</v>
      </c>
      <c r="E83" s="221">
        <v>0</v>
      </c>
      <c r="F83" s="221">
        <v>0</v>
      </c>
      <c r="G83" s="200">
        <v>0</v>
      </c>
    </row>
    <row r="84" spans="1:7" ht="12.75">
      <c r="A84" s="263" t="s">
        <v>141</v>
      </c>
      <c r="B84" s="264" t="s">
        <v>312</v>
      </c>
      <c r="C84" s="216"/>
      <c r="D84" s="265">
        <f t="shared" si="1"/>
        <v>74</v>
      </c>
      <c r="E84" s="216">
        <f>SUM(E77,E80:E83)</f>
        <v>1778924</v>
      </c>
      <c r="F84" s="216">
        <f>SUM(F77,F80:F83)</f>
        <v>1077966</v>
      </c>
      <c r="G84" s="217">
        <f>F84/E84*100</f>
        <v>60.596517895087146</v>
      </c>
    </row>
    <row r="85" spans="1:7" ht="12.75">
      <c r="A85" s="254"/>
      <c r="B85" s="255" t="s">
        <v>10</v>
      </c>
      <c r="C85" s="194" t="s">
        <v>313</v>
      </c>
      <c r="D85" s="224">
        <f t="shared" si="1"/>
        <v>75</v>
      </c>
      <c r="E85" s="194">
        <v>0</v>
      </c>
      <c r="F85" s="194">
        <v>0</v>
      </c>
      <c r="G85" s="200">
        <v>0</v>
      </c>
    </row>
    <row r="86" spans="1:7" ht="12.75">
      <c r="A86" s="256"/>
      <c r="B86" s="257" t="s">
        <v>314</v>
      </c>
      <c r="C86" s="220"/>
      <c r="D86" s="199">
        <f t="shared" si="1"/>
        <v>76</v>
      </c>
      <c r="E86" s="220">
        <v>0</v>
      </c>
      <c r="F86" s="220">
        <v>0</v>
      </c>
      <c r="G86" s="200">
        <v>0</v>
      </c>
    </row>
    <row r="87" spans="1:7" ht="12.75">
      <c r="A87" s="256"/>
      <c r="B87" s="257"/>
      <c r="C87" s="220" t="s">
        <v>315</v>
      </c>
      <c r="D87" s="199">
        <f t="shared" si="1"/>
        <v>77</v>
      </c>
      <c r="E87" s="220">
        <v>0</v>
      </c>
      <c r="F87" s="220">
        <v>0</v>
      </c>
      <c r="G87" s="200">
        <v>0</v>
      </c>
    </row>
    <row r="88" spans="1:7" ht="12.75">
      <c r="A88" s="256"/>
      <c r="B88" s="257" t="s">
        <v>12</v>
      </c>
      <c r="C88" s="220" t="s">
        <v>316</v>
      </c>
      <c r="D88" s="199">
        <f t="shared" si="1"/>
        <v>78</v>
      </c>
      <c r="E88" s="220">
        <v>0</v>
      </c>
      <c r="F88" s="220">
        <v>0</v>
      </c>
      <c r="G88" s="200">
        <v>0</v>
      </c>
    </row>
    <row r="89" spans="1:7" ht="12.75">
      <c r="A89" s="256"/>
      <c r="B89" s="257" t="s">
        <v>14</v>
      </c>
      <c r="C89" s="220" t="s">
        <v>317</v>
      </c>
      <c r="D89" s="199">
        <f t="shared" si="1"/>
        <v>79</v>
      </c>
      <c r="E89" s="221">
        <v>0</v>
      </c>
      <c r="F89" s="221">
        <v>0</v>
      </c>
      <c r="G89" s="222">
        <v>0</v>
      </c>
    </row>
    <row r="90" spans="1:7" ht="12.75">
      <c r="A90" s="261"/>
      <c r="B90" s="262" t="s">
        <v>16</v>
      </c>
      <c r="C90" s="221" t="s">
        <v>318</v>
      </c>
      <c r="D90" s="211">
        <f t="shared" si="1"/>
        <v>80</v>
      </c>
      <c r="E90" s="212">
        <v>0</v>
      </c>
      <c r="F90" s="212">
        <v>0</v>
      </c>
      <c r="G90" s="213">
        <v>0</v>
      </c>
    </row>
    <row r="91" spans="1:7" ht="12.75">
      <c r="A91" s="263" t="s">
        <v>143</v>
      </c>
      <c r="B91" s="264" t="s">
        <v>319</v>
      </c>
      <c r="C91" s="216"/>
      <c r="D91" s="215">
        <f t="shared" si="1"/>
        <v>81</v>
      </c>
      <c r="E91" s="216">
        <f>SUM(E85:E90)</f>
        <v>0</v>
      </c>
      <c r="F91" s="216">
        <f>SUM(F85:F90)</f>
        <v>0</v>
      </c>
      <c r="G91" s="217">
        <v>0</v>
      </c>
    </row>
    <row r="92" spans="1:7" s="189" customFormat="1" ht="15">
      <c r="A92" s="243" t="s">
        <v>320</v>
      </c>
      <c r="B92" s="244"/>
      <c r="C92" s="235"/>
      <c r="D92" s="215">
        <f t="shared" si="1"/>
        <v>82</v>
      </c>
      <c r="E92" s="235">
        <f>SUM(E84,E91)</f>
        <v>1778924</v>
      </c>
      <c r="F92" s="235">
        <f>SUM(F84,F91)</f>
        <v>1077966</v>
      </c>
      <c r="G92" s="236">
        <f>F92/E92*100</f>
        <v>60.596517895087146</v>
      </c>
    </row>
    <row r="93" spans="1:7" s="189" customFormat="1" ht="15">
      <c r="A93" s="266"/>
      <c r="B93" s="267" t="s">
        <v>10</v>
      </c>
      <c r="C93" s="229" t="s">
        <v>321</v>
      </c>
      <c r="D93" s="224">
        <f t="shared" si="1"/>
        <v>83</v>
      </c>
      <c r="E93" s="229"/>
      <c r="F93" s="229"/>
      <c r="G93" s="200">
        <v>0</v>
      </c>
    </row>
    <row r="94" spans="1:7" ht="12.75">
      <c r="A94" s="254"/>
      <c r="B94" s="255" t="s">
        <v>12</v>
      </c>
      <c r="C94" s="194" t="s">
        <v>322</v>
      </c>
      <c r="D94" s="199">
        <f t="shared" si="1"/>
        <v>84</v>
      </c>
      <c r="E94" s="194">
        <v>11473789</v>
      </c>
      <c r="F94" s="194">
        <v>11649278</v>
      </c>
      <c r="G94" s="195">
        <v>0</v>
      </c>
    </row>
    <row r="95" spans="1:7" ht="12.75">
      <c r="A95" s="254"/>
      <c r="B95" s="255" t="s">
        <v>14</v>
      </c>
      <c r="C95" s="194" t="s">
        <v>323</v>
      </c>
      <c r="D95" s="199">
        <f t="shared" si="1"/>
        <v>85</v>
      </c>
      <c r="E95" s="194"/>
      <c r="F95" s="194"/>
      <c r="G95" s="195">
        <v>0</v>
      </c>
    </row>
    <row r="96" spans="1:7" ht="12.75">
      <c r="A96" s="256"/>
      <c r="B96" s="257" t="s">
        <v>16</v>
      </c>
      <c r="C96" s="220" t="s">
        <v>324</v>
      </c>
      <c r="D96" s="199">
        <f t="shared" si="1"/>
        <v>86</v>
      </c>
      <c r="E96" s="220">
        <v>3209010</v>
      </c>
      <c r="F96" s="220">
        <v>2913458</v>
      </c>
      <c r="G96" s="200">
        <f>F96/E96*100</f>
        <v>90.78993209743815</v>
      </c>
    </row>
    <row r="97" spans="1:7" ht="12.75">
      <c r="A97" s="261"/>
      <c r="B97" s="262" t="s">
        <v>18</v>
      </c>
      <c r="C97" s="221" t="s">
        <v>325</v>
      </c>
      <c r="D97" s="199">
        <f t="shared" si="1"/>
        <v>87</v>
      </c>
      <c r="E97" s="221"/>
      <c r="F97" s="221"/>
      <c r="G97" s="200">
        <v>0</v>
      </c>
    </row>
    <row r="98" spans="1:7" ht="12.75">
      <c r="A98" s="261"/>
      <c r="B98" s="262" t="s">
        <v>20</v>
      </c>
      <c r="C98" s="221" t="s">
        <v>326</v>
      </c>
      <c r="D98" s="211">
        <f t="shared" si="1"/>
        <v>88</v>
      </c>
      <c r="E98" s="221">
        <v>1530</v>
      </c>
      <c r="F98" s="221">
        <v>1334</v>
      </c>
      <c r="G98" s="200">
        <f>F98/E98*100</f>
        <v>87.18954248366013</v>
      </c>
    </row>
    <row r="99" spans="1:7" ht="12.75">
      <c r="A99" s="263" t="s">
        <v>141</v>
      </c>
      <c r="B99" s="264" t="s">
        <v>327</v>
      </c>
      <c r="C99" s="216"/>
      <c r="D99" s="265">
        <f t="shared" si="1"/>
        <v>89</v>
      </c>
      <c r="E99" s="216">
        <f>SUM(E93:E98)</f>
        <v>14684329</v>
      </c>
      <c r="F99" s="216">
        <f>SUM(F93:F98)</f>
        <v>14564070</v>
      </c>
      <c r="G99" s="217">
        <f>F99/E99*100</f>
        <v>99.18103850710509</v>
      </c>
    </row>
    <row r="100" spans="1:7" ht="12.75">
      <c r="A100" s="268"/>
      <c r="B100" s="267" t="s">
        <v>10</v>
      </c>
      <c r="C100" s="229" t="s">
        <v>328</v>
      </c>
      <c r="D100" s="224">
        <f t="shared" si="1"/>
        <v>90</v>
      </c>
      <c r="E100" s="229">
        <v>0</v>
      </c>
      <c r="F100" s="229">
        <v>0</v>
      </c>
      <c r="G100" s="230">
        <v>0</v>
      </c>
    </row>
    <row r="101" spans="1:7" ht="12.75">
      <c r="A101" s="256"/>
      <c r="B101" s="257" t="s">
        <v>12</v>
      </c>
      <c r="C101" s="220" t="s">
        <v>80</v>
      </c>
      <c r="D101" s="199">
        <f t="shared" si="1"/>
        <v>91</v>
      </c>
      <c r="E101" s="220">
        <v>1000000</v>
      </c>
      <c r="F101" s="220">
        <v>2201372</v>
      </c>
      <c r="G101" s="200">
        <f>F101/E101*100</f>
        <v>220.1372</v>
      </c>
    </row>
    <row r="102" spans="1:7" ht="12.75">
      <c r="A102" s="256"/>
      <c r="B102" s="257" t="s">
        <v>14</v>
      </c>
      <c r="C102" s="220" t="s">
        <v>329</v>
      </c>
      <c r="D102" s="199">
        <f t="shared" si="1"/>
        <v>92</v>
      </c>
      <c r="E102" s="220">
        <v>691485</v>
      </c>
      <c r="F102" s="220">
        <v>996848</v>
      </c>
      <c r="G102" s="200">
        <f>F102/E102*100</f>
        <v>144.1604662429409</v>
      </c>
    </row>
    <row r="103" spans="1:7" ht="12.75">
      <c r="A103" s="256"/>
      <c r="B103" s="199" t="s">
        <v>279</v>
      </c>
      <c r="C103" s="257" t="s">
        <v>330</v>
      </c>
      <c r="D103" s="199">
        <f t="shared" si="1"/>
        <v>93</v>
      </c>
      <c r="E103" s="220">
        <v>60954</v>
      </c>
      <c r="F103" s="220">
        <v>65679</v>
      </c>
      <c r="G103" s="200">
        <f>F103/E103*100</f>
        <v>107.7517472192145</v>
      </c>
    </row>
    <row r="104" spans="1:7" ht="12.75">
      <c r="A104" s="256"/>
      <c r="B104" s="257"/>
      <c r="C104" s="257" t="s">
        <v>331</v>
      </c>
      <c r="D104" s="199">
        <f t="shared" si="1"/>
        <v>94</v>
      </c>
      <c r="E104" s="220">
        <v>630531</v>
      </c>
      <c r="F104" s="220">
        <v>931169</v>
      </c>
      <c r="G104" s="200">
        <f>F104/E104*100</f>
        <v>147.68012992224013</v>
      </c>
    </row>
    <row r="105" spans="1:7" ht="12.75">
      <c r="A105" s="256"/>
      <c r="B105" s="257" t="s">
        <v>16</v>
      </c>
      <c r="C105" s="257" t="s">
        <v>332</v>
      </c>
      <c r="D105" s="199">
        <f t="shared" si="1"/>
        <v>95</v>
      </c>
      <c r="E105" s="220">
        <v>1393307</v>
      </c>
      <c r="F105" s="220">
        <v>1311143</v>
      </c>
      <c r="G105" s="200">
        <f>F105/E105*100</f>
        <v>94.10295074954766</v>
      </c>
    </row>
    <row r="106" spans="1:7" ht="26.25">
      <c r="A106" s="256"/>
      <c r="B106" s="231" t="s">
        <v>333</v>
      </c>
      <c r="C106" s="257" t="s">
        <v>334</v>
      </c>
      <c r="D106" s="199">
        <f aca="true" t="shared" si="2" ref="D106:D132">$D105+1</f>
        <v>96</v>
      </c>
      <c r="E106" s="220"/>
      <c r="F106" s="220"/>
      <c r="G106" s="200"/>
    </row>
    <row r="107" spans="1:7" ht="12.75">
      <c r="A107" s="256"/>
      <c r="B107" s="257"/>
      <c r="C107" s="257" t="s">
        <v>335</v>
      </c>
      <c r="D107" s="199">
        <f t="shared" si="2"/>
        <v>97</v>
      </c>
      <c r="E107" s="220"/>
      <c r="F107" s="220"/>
      <c r="G107" s="200"/>
    </row>
    <row r="108" spans="1:7" ht="12.75">
      <c r="A108" s="256"/>
      <c r="B108" s="257"/>
      <c r="C108" s="257" t="s">
        <v>336</v>
      </c>
      <c r="D108" s="199">
        <f t="shared" si="2"/>
        <v>98</v>
      </c>
      <c r="E108" s="220"/>
      <c r="F108" s="220"/>
      <c r="G108" s="200"/>
    </row>
    <row r="109" spans="1:7" ht="12.75">
      <c r="A109" s="256"/>
      <c r="B109" s="257"/>
      <c r="C109" s="257" t="s">
        <v>337</v>
      </c>
      <c r="D109" s="199">
        <f t="shared" si="2"/>
        <v>99</v>
      </c>
      <c r="E109" s="220">
        <v>644368</v>
      </c>
      <c r="F109" s="220">
        <v>405355</v>
      </c>
      <c r="G109" s="200">
        <f>F109/E109*100</f>
        <v>62.90737590941822</v>
      </c>
    </row>
    <row r="110" spans="1:7" ht="12.75">
      <c r="A110" s="256"/>
      <c r="B110" s="257"/>
      <c r="C110" s="257" t="s">
        <v>338</v>
      </c>
      <c r="D110" s="199">
        <f t="shared" si="2"/>
        <v>100</v>
      </c>
      <c r="E110" s="220">
        <v>117317</v>
      </c>
      <c r="F110" s="220">
        <v>83688</v>
      </c>
      <c r="G110" s="200">
        <f>F110/E110*100</f>
        <v>71.33493014652608</v>
      </c>
    </row>
    <row r="111" spans="1:7" ht="12.75">
      <c r="A111" s="256"/>
      <c r="B111" s="257"/>
      <c r="C111" s="257" t="s">
        <v>339</v>
      </c>
      <c r="D111" s="199">
        <f t="shared" si="2"/>
        <v>101</v>
      </c>
      <c r="E111" s="220">
        <v>2713</v>
      </c>
      <c r="F111" s="220">
        <v>176526</v>
      </c>
      <c r="G111" s="200">
        <f>F111/E111*100</f>
        <v>6506.671581275342</v>
      </c>
    </row>
    <row r="112" spans="1:7" ht="12.75">
      <c r="A112" s="256"/>
      <c r="B112" s="220"/>
      <c r="C112" s="257" t="s">
        <v>340</v>
      </c>
      <c r="D112" s="199">
        <f t="shared" si="2"/>
        <v>102</v>
      </c>
      <c r="E112" s="220"/>
      <c r="F112" s="220"/>
      <c r="G112" s="200"/>
    </row>
    <row r="113" spans="1:7" ht="12.75">
      <c r="A113" s="256"/>
      <c r="B113" s="220"/>
      <c r="C113" s="257" t="s">
        <v>341</v>
      </c>
      <c r="D113" s="199">
        <f t="shared" si="2"/>
        <v>103</v>
      </c>
      <c r="E113" s="220"/>
      <c r="F113" s="220"/>
      <c r="G113" s="200"/>
    </row>
    <row r="114" spans="1:7" ht="12.75">
      <c r="A114" s="256"/>
      <c r="B114" s="220"/>
      <c r="C114" s="257" t="s">
        <v>342</v>
      </c>
      <c r="D114" s="199">
        <f t="shared" si="2"/>
        <v>104</v>
      </c>
      <c r="E114" s="220"/>
      <c r="F114" s="220"/>
      <c r="G114" s="200"/>
    </row>
    <row r="115" spans="1:7" ht="12.75">
      <c r="A115" s="256"/>
      <c r="B115" s="220"/>
      <c r="C115" s="257" t="s">
        <v>343</v>
      </c>
      <c r="D115" s="199">
        <f t="shared" si="2"/>
        <v>105</v>
      </c>
      <c r="E115" s="220">
        <v>89257</v>
      </c>
      <c r="F115" s="220">
        <v>114125</v>
      </c>
      <c r="G115" s="200">
        <f>F115/E115*100</f>
        <v>127.86112013623581</v>
      </c>
    </row>
    <row r="116" spans="1:7" ht="12.75">
      <c r="A116" s="256"/>
      <c r="B116" s="220"/>
      <c r="C116" s="257" t="s">
        <v>344</v>
      </c>
      <c r="D116" s="199">
        <f t="shared" si="2"/>
        <v>106</v>
      </c>
      <c r="E116" s="220"/>
      <c r="F116" s="220"/>
      <c r="G116" s="200"/>
    </row>
    <row r="117" spans="1:7" ht="12.75" customHeight="1">
      <c r="A117" s="256"/>
      <c r="B117" s="231"/>
      <c r="C117" s="231" t="s">
        <v>345</v>
      </c>
      <c r="D117" s="199">
        <f t="shared" si="2"/>
        <v>107</v>
      </c>
      <c r="E117" s="220">
        <v>361990</v>
      </c>
      <c r="F117" s="220">
        <v>345385</v>
      </c>
      <c r="G117" s="200">
        <f>F117/E117*100</f>
        <v>95.41285670874886</v>
      </c>
    </row>
    <row r="118" spans="1:7" ht="12.75" customHeight="1">
      <c r="A118" s="256"/>
      <c r="B118" s="231"/>
      <c r="C118" s="231" t="s">
        <v>346</v>
      </c>
      <c r="D118" s="199">
        <f t="shared" si="2"/>
        <v>108</v>
      </c>
      <c r="E118" s="220"/>
      <c r="F118" s="220"/>
      <c r="G118" s="200">
        <v>0</v>
      </c>
    </row>
    <row r="119" spans="1:7" ht="12.75" customHeight="1">
      <c r="A119" s="256"/>
      <c r="B119" s="231"/>
      <c r="C119" s="231" t="s">
        <v>347</v>
      </c>
      <c r="D119" s="199">
        <f t="shared" si="2"/>
        <v>109</v>
      </c>
      <c r="E119" s="220">
        <v>169</v>
      </c>
      <c r="F119" s="220">
        <v>180</v>
      </c>
      <c r="G119" s="200">
        <f>F119/E119*100</f>
        <v>106.50887573964498</v>
      </c>
    </row>
    <row r="120" spans="1:7" ht="12.75" customHeight="1">
      <c r="A120" s="256"/>
      <c r="B120" s="257"/>
      <c r="C120" s="237" t="s">
        <v>348</v>
      </c>
      <c r="D120" s="199">
        <f t="shared" si="2"/>
        <v>110</v>
      </c>
      <c r="E120" s="220">
        <v>2294</v>
      </c>
      <c r="F120" s="220">
        <v>3701</v>
      </c>
      <c r="G120" s="200">
        <f>F120/E120*100</f>
        <v>161.33391455972102</v>
      </c>
    </row>
    <row r="121" spans="1:7" ht="12.75" customHeight="1">
      <c r="A121" s="256"/>
      <c r="B121" s="257"/>
      <c r="C121" s="237" t="s">
        <v>349</v>
      </c>
      <c r="D121" s="199">
        <f t="shared" si="2"/>
        <v>111</v>
      </c>
      <c r="E121" s="220">
        <v>175199</v>
      </c>
      <c r="F121" s="220">
        <v>182183</v>
      </c>
      <c r="G121" s="200">
        <f>F121/E121*100</f>
        <v>103.98632412285458</v>
      </c>
    </row>
    <row r="122" spans="1:7" ht="12.75" customHeight="1">
      <c r="A122" s="269"/>
      <c r="B122" s="223"/>
      <c r="C122" s="226" t="s">
        <v>350</v>
      </c>
      <c r="D122" s="211">
        <f t="shared" si="2"/>
        <v>112</v>
      </c>
      <c r="E122" s="212"/>
      <c r="F122" s="212"/>
      <c r="G122" s="213"/>
    </row>
    <row r="123" spans="1:7" ht="17.25" customHeight="1">
      <c r="A123" s="263" t="s">
        <v>143</v>
      </c>
      <c r="B123" s="515" t="s">
        <v>351</v>
      </c>
      <c r="C123" s="515"/>
      <c r="D123" s="215">
        <f t="shared" si="2"/>
        <v>113</v>
      </c>
      <c r="E123" s="216">
        <f>SUM(E100:E102,E105)</f>
        <v>3084792</v>
      </c>
      <c r="F123" s="216">
        <f>SUM(F100:F102,F105)</f>
        <v>4509363</v>
      </c>
      <c r="G123" s="217">
        <f>F123/E123*100</f>
        <v>146.1804556028413</v>
      </c>
    </row>
    <row r="124" spans="1:7" ht="12.75">
      <c r="A124" s="254"/>
      <c r="B124" s="255" t="s">
        <v>10</v>
      </c>
      <c r="C124" s="192" t="s">
        <v>352</v>
      </c>
      <c r="D124" s="193">
        <f t="shared" si="2"/>
        <v>114</v>
      </c>
      <c r="E124" s="194">
        <v>526251</v>
      </c>
      <c r="F124" s="194">
        <v>485959</v>
      </c>
      <c r="G124" s="200">
        <f>F124/E124*100</f>
        <v>92.34357749438956</v>
      </c>
    </row>
    <row r="125" spans="1:7" ht="12.75">
      <c r="A125" s="256"/>
      <c r="B125" s="257" t="s">
        <v>12</v>
      </c>
      <c r="C125" s="237" t="s">
        <v>353</v>
      </c>
      <c r="D125" s="199">
        <f t="shared" si="2"/>
        <v>115</v>
      </c>
      <c r="E125" s="220">
        <v>152705</v>
      </c>
      <c r="F125" s="220">
        <v>175867</v>
      </c>
      <c r="G125" s="200">
        <f>F125/E125*100</f>
        <v>115.16780720998003</v>
      </c>
    </row>
    <row r="126" spans="1:7" ht="12.75">
      <c r="A126" s="256"/>
      <c r="B126" s="257" t="s">
        <v>14</v>
      </c>
      <c r="C126" s="237" t="s">
        <v>354</v>
      </c>
      <c r="D126" s="199">
        <f t="shared" si="2"/>
        <v>116</v>
      </c>
      <c r="E126" s="220">
        <v>0</v>
      </c>
      <c r="F126" s="220">
        <v>0</v>
      </c>
      <c r="G126" s="200"/>
    </row>
    <row r="127" spans="1:7" ht="19.5" customHeight="1">
      <c r="A127" s="256"/>
      <c r="B127" s="257" t="s">
        <v>16</v>
      </c>
      <c r="C127" s="237" t="s">
        <v>355</v>
      </c>
      <c r="D127" s="199">
        <f t="shared" si="2"/>
        <v>117</v>
      </c>
      <c r="E127" s="220">
        <v>16767</v>
      </c>
      <c r="F127" s="220">
        <v>14482</v>
      </c>
      <c r="G127" s="200">
        <f>F127/E127*100</f>
        <v>86.37204031728992</v>
      </c>
    </row>
    <row r="128" spans="1:7" ht="12.75">
      <c r="A128" s="256"/>
      <c r="B128" s="257" t="s">
        <v>279</v>
      </c>
      <c r="C128" s="220" t="s">
        <v>356</v>
      </c>
      <c r="D128" s="199">
        <f t="shared" si="2"/>
        <v>118</v>
      </c>
      <c r="E128" s="220"/>
      <c r="F128" s="220"/>
      <c r="G128" s="200"/>
    </row>
    <row r="129" spans="1:7" ht="12.75">
      <c r="A129" s="269"/>
      <c r="B129" s="223"/>
      <c r="C129" s="212" t="s">
        <v>357</v>
      </c>
      <c r="D129" s="204">
        <f t="shared" si="2"/>
        <v>119</v>
      </c>
      <c r="E129" s="212"/>
      <c r="F129" s="212"/>
      <c r="G129" s="200">
        <v>0</v>
      </c>
    </row>
    <row r="130" spans="1:7" ht="12.75" customHeight="1">
      <c r="A130" s="263" t="s">
        <v>145</v>
      </c>
      <c r="B130" s="516" t="s">
        <v>358</v>
      </c>
      <c r="C130" s="516"/>
      <c r="D130" s="215">
        <f t="shared" si="2"/>
        <v>120</v>
      </c>
      <c r="E130" s="216">
        <f>SUM(E124:E127)</f>
        <v>695723</v>
      </c>
      <c r="F130" s="216">
        <f>SUM(F124:F127)</f>
        <v>676308</v>
      </c>
      <c r="G130" s="217">
        <f>F130/E130*100</f>
        <v>97.20937787021559</v>
      </c>
    </row>
    <row r="131" spans="1:7" s="189" customFormat="1" ht="21" customHeight="1">
      <c r="A131" s="243" t="s">
        <v>359</v>
      </c>
      <c r="B131" s="270"/>
      <c r="C131" s="271"/>
      <c r="D131" s="215">
        <f t="shared" si="2"/>
        <v>121</v>
      </c>
      <c r="E131" s="235">
        <f>SUM(E99,E123,E130)</f>
        <v>18464844</v>
      </c>
      <c r="F131" s="235">
        <f>SUM(F99,F123,F130)</f>
        <v>19749741</v>
      </c>
      <c r="G131" s="236">
        <f>F131/E131*100</f>
        <v>106.95861281037631</v>
      </c>
    </row>
    <row r="132" spans="1:7" s="189" customFormat="1" ht="23.25" customHeight="1">
      <c r="A132" s="246" t="s">
        <v>360</v>
      </c>
      <c r="B132" s="247"/>
      <c r="C132" s="250"/>
      <c r="D132" s="272">
        <f t="shared" si="2"/>
        <v>122</v>
      </c>
      <c r="E132" s="250">
        <f>SUM(E131,E92,E76)</f>
        <v>79371372</v>
      </c>
      <c r="F132" s="250">
        <f>SUM(F131,F92,F76)</f>
        <v>77842513</v>
      </c>
      <c r="G132" s="251">
        <f>F132/E132*100</f>
        <v>98.07379038376708</v>
      </c>
    </row>
    <row r="133" ht="12.75">
      <c r="D133" s="183" t="s">
        <v>132</v>
      </c>
    </row>
    <row r="134" ht="12.75">
      <c r="D134" s="183" t="s">
        <v>132</v>
      </c>
    </row>
    <row r="135" ht="12.75">
      <c r="D135" s="183" t="s">
        <v>132</v>
      </c>
    </row>
    <row r="136" ht="12.75">
      <c r="D136" s="183" t="s">
        <v>132</v>
      </c>
    </row>
  </sheetData>
  <sheetProtection selectLockedCells="1" selectUnlockedCells="1"/>
  <mergeCells count="21">
    <mergeCell ref="A2:G2"/>
    <mergeCell ref="A5:C6"/>
    <mergeCell ref="D5:D6"/>
    <mergeCell ref="G5:G6"/>
    <mergeCell ref="E6:F6"/>
    <mergeCell ref="B13:C13"/>
    <mergeCell ref="B22:C22"/>
    <mergeCell ref="B29:C29"/>
    <mergeCell ref="B35:C35"/>
    <mergeCell ref="A36:C36"/>
    <mergeCell ref="B43:C43"/>
    <mergeCell ref="B53:C53"/>
    <mergeCell ref="B56:C56"/>
    <mergeCell ref="B61:C61"/>
    <mergeCell ref="B66:C66"/>
    <mergeCell ref="A71:C72"/>
    <mergeCell ref="D71:D72"/>
    <mergeCell ref="G71:G72"/>
    <mergeCell ref="E72:F72"/>
    <mergeCell ref="B123:C123"/>
    <mergeCell ref="B130:C130"/>
  </mergeCells>
  <printOptions horizontalCentered="1"/>
  <pageMargins left="0.27569444444444446" right="0.2361111111111111" top="0.2361111111111111" bottom="0.31527777777777777" header="0.5118055555555555" footer="0.5118055555555555"/>
  <pageSetup horizontalDpi="300" verticalDpi="300" orientation="portrait" paperSize="9" scale="87" r:id="rId1"/>
  <rowBreaks count="1" manualBreakCount="1"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H47"/>
  <sheetViews>
    <sheetView zoomScaleSheetLayoutView="75" workbookViewId="0" topLeftCell="A27">
      <selection activeCell="H36" sqref="H36"/>
    </sheetView>
  </sheetViews>
  <sheetFormatPr defaultColWidth="9.140625" defaultRowHeight="12.75"/>
  <cols>
    <col min="1" max="1" width="5.7109375" style="1" customWidth="1"/>
    <col min="2" max="2" width="43.8515625" style="2" customWidth="1"/>
    <col min="3" max="3" width="13.7109375" style="3" customWidth="1"/>
    <col min="4" max="4" width="12.00390625" style="3" customWidth="1"/>
    <col min="5" max="6" width="13.7109375" style="3" customWidth="1"/>
    <col min="7" max="7" width="12.57421875" style="3" customWidth="1"/>
    <col min="8" max="8" width="13.7109375" style="3" customWidth="1"/>
    <col min="9" max="16384" width="8.00390625" style="3" customWidth="1"/>
  </cols>
  <sheetData>
    <row r="1" ht="12.75">
      <c r="H1" s="4" t="s">
        <v>361</v>
      </c>
    </row>
    <row r="2" spans="1:8" s="5" customFormat="1" ht="24.75" customHeight="1">
      <c r="A2" s="485" t="s">
        <v>362</v>
      </c>
      <c r="B2" s="485"/>
      <c r="C2" s="485"/>
      <c r="D2" s="485"/>
      <c r="E2" s="485"/>
      <c r="F2" s="485"/>
      <c r="G2" s="485"/>
      <c r="H2" s="485"/>
    </row>
    <row r="3" spans="1:8" s="5" customFormat="1" ht="22.5" customHeight="1">
      <c r="A3" s="486" t="s">
        <v>2</v>
      </c>
      <c r="B3" s="486"/>
      <c r="C3" s="486"/>
      <c r="D3" s="486"/>
      <c r="E3" s="486"/>
      <c r="F3" s="486"/>
      <c r="G3" s="486"/>
      <c r="H3" s="486"/>
    </row>
    <row r="4" spans="1:8" s="5" customFormat="1" ht="32.25" customHeight="1">
      <c r="A4" s="6"/>
      <c r="B4" s="7"/>
      <c r="C4" s="6"/>
      <c r="D4" s="6"/>
      <c r="E4" s="7"/>
      <c r="F4" s="7"/>
      <c r="G4" s="7"/>
      <c r="H4" s="352" t="s">
        <v>3</v>
      </c>
    </row>
    <row r="5" spans="1:8" ht="52.5" customHeight="1">
      <c r="A5" s="487" t="s">
        <v>4</v>
      </c>
      <c r="B5" s="487"/>
      <c r="C5" s="8" t="s">
        <v>5</v>
      </c>
      <c r="D5" s="8" t="s">
        <v>6</v>
      </c>
      <c r="E5" s="9" t="s">
        <v>7</v>
      </c>
      <c r="F5" s="8" t="s">
        <v>8</v>
      </c>
      <c r="G5" s="8" t="s">
        <v>6</v>
      </c>
      <c r="H5" s="9" t="s">
        <v>9</v>
      </c>
    </row>
    <row r="6" spans="1:8" s="14" customFormat="1" ht="15.75" customHeight="1">
      <c r="A6" s="10" t="s">
        <v>10</v>
      </c>
      <c r="B6" s="11" t="s">
        <v>11</v>
      </c>
      <c r="C6" s="12">
        <f aca="true" t="shared" si="0" ref="C6:H6">SUM(C7:C10)</f>
        <v>0</v>
      </c>
      <c r="D6" s="13">
        <f t="shared" si="0"/>
        <v>0</v>
      </c>
      <c r="E6" s="13">
        <f t="shared" si="0"/>
        <v>0</v>
      </c>
      <c r="F6" s="12">
        <f t="shared" si="0"/>
        <v>238609</v>
      </c>
      <c r="G6" s="13">
        <f t="shared" si="0"/>
        <v>0</v>
      </c>
      <c r="H6" s="13">
        <f t="shared" si="0"/>
        <v>238609</v>
      </c>
    </row>
    <row r="7" spans="1:8" ht="12.75">
      <c r="A7" s="15" t="s">
        <v>12</v>
      </c>
      <c r="B7" s="16" t="s">
        <v>13</v>
      </c>
      <c r="C7" s="273"/>
      <c r="D7" s="273"/>
      <c r="E7" s="18"/>
      <c r="F7" s="273">
        <v>4980</v>
      </c>
      <c r="G7" s="273"/>
      <c r="H7" s="18">
        <f>G7+F7</f>
        <v>4980</v>
      </c>
    </row>
    <row r="8" spans="1:8" ht="12.75">
      <c r="A8" s="19" t="s">
        <v>14</v>
      </c>
      <c r="B8" s="20" t="s">
        <v>15</v>
      </c>
      <c r="C8" s="274"/>
      <c r="D8" s="274"/>
      <c r="E8" s="22"/>
      <c r="F8" s="274">
        <v>174578</v>
      </c>
      <c r="G8" s="274"/>
      <c r="H8" s="22">
        <f>G8+F8</f>
        <v>174578</v>
      </c>
    </row>
    <row r="9" spans="1:8" ht="12.75">
      <c r="A9" s="19" t="s">
        <v>16</v>
      </c>
      <c r="B9" s="20" t="s">
        <v>17</v>
      </c>
      <c r="C9" s="23"/>
      <c r="D9" s="23"/>
      <c r="E9" s="22"/>
      <c r="F9" s="23"/>
      <c r="G9" s="23"/>
      <c r="H9" s="22">
        <f>G9+F9</f>
        <v>0</v>
      </c>
    </row>
    <row r="10" spans="1:8" ht="12.75">
      <c r="A10" s="24" t="s">
        <v>18</v>
      </c>
      <c r="B10" s="25" t="s">
        <v>19</v>
      </c>
      <c r="C10" s="26"/>
      <c r="D10" s="26"/>
      <c r="E10" s="27"/>
      <c r="F10" s="26">
        <v>59051</v>
      </c>
      <c r="G10" s="26"/>
      <c r="H10" s="27">
        <f>G10+F10</f>
        <v>59051</v>
      </c>
    </row>
    <row r="11" spans="1:8" s="14" customFormat="1" ht="15.75" customHeight="1">
      <c r="A11" s="10" t="s">
        <v>20</v>
      </c>
      <c r="B11" s="11" t="s">
        <v>21</v>
      </c>
      <c r="C11" s="13">
        <f aca="true" t="shared" si="1" ref="C11:H11">SUM(C12:C16)</f>
        <v>0</v>
      </c>
      <c r="D11" s="13">
        <f t="shared" si="1"/>
        <v>0</v>
      </c>
      <c r="E11" s="13">
        <f t="shared" si="1"/>
        <v>0</v>
      </c>
      <c r="F11" s="13">
        <f t="shared" si="1"/>
        <v>589519</v>
      </c>
      <c r="G11" s="13">
        <f t="shared" si="1"/>
        <v>0</v>
      </c>
      <c r="H11" s="13">
        <f t="shared" si="1"/>
        <v>589519</v>
      </c>
    </row>
    <row r="12" spans="1:8" ht="12.75">
      <c r="A12" s="15" t="s">
        <v>22</v>
      </c>
      <c r="B12" s="16" t="s">
        <v>23</v>
      </c>
      <c r="C12" s="28"/>
      <c r="D12" s="29"/>
      <c r="E12" s="18"/>
      <c r="F12" s="28"/>
      <c r="G12" s="29"/>
      <c r="H12" s="18">
        <f>G12+F12</f>
        <v>0</v>
      </c>
    </row>
    <row r="13" spans="1:8" ht="12.75">
      <c r="A13" s="19" t="s">
        <v>24</v>
      </c>
      <c r="B13" s="20" t="s">
        <v>25</v>
      </c>
      <c r="C13" s="23"/>
      <c r="D13" s="30"/>
      <c r="E13" s="22"/>
      <c r="F13" s="23">
        <v>20</v>
      </c>
      <c r="G13" s="30"/>
      <c r="H13" s="22">
        <f>G13+F13</f>
        <v>20</v>
      </c>
    </row>
    <row r="14" spans="1:8" ht="12.75">
      <c r="A14" s="19" t="s">
        <v>26</v>
      </c>
      <c r="B14" s="20" t="s">
        <v>27</v>
      </c>
      <c r="C14" s="23"/>
      <c r="D14" s="30"/>
      <c r="E14" s="22"/>
      <c r="F14" s="23"/>
      <c r="G14" s="30"/>
      <c r="H14" s="22">
        <f>G14+F14</f>
        <v>0</v>
      </c>
    </row>
    <row r="15" spans="1:8" ht="12.75">
      <c r="A15" s="31" t="s">
        <v>28</v>
      </c>
      <c r="B15" s="20" t="s">
        <v>29</v>
      </c>
      <c r="C15" s="23"/>
      <c r="D15" s="30"/>
      <c r="E15" s="22"/>
      <c r="F15" s="23">
        <v>589369</v>
      </c>
      <c r="G15" s="30"/>
      <c r="H15" s="22">
        <f>G15+F15</f>
        <v>589369</v>
      </c>
    </row>
    <row r="16" spans="1:8" ht="12.75">
      <c r="A16" s="24" t="s">
        <v>30</v>
      </c>
      <c r="B16" s="25" t="s">
        <v>31</v>
      </c>
      <c r="C16" s="26"/>
      <c r="D16" s="32"/>
      <c r="E16" s="27"/>
      <c r="F16" s="26">
        <v>130</v>
      </c>
      <c r="G16" s="32"/>
      <c r="H16" s="27">
        <f>G16+F16</f>
        <v>130</v>
      </c>
    </row>
    <row r="17" spans="1:8" s="34" customFormat="1" ht="27" customHeight="1">
      <c r="A17" s="10" t="s">
        <v>32</v>
      </c>
      <c r="B17" s="33" t="s">
        <v>33</v>
      </c>
      <c r="C17" s="13">
        <f aca="true" t="shared" si="2" ref="C17:H17">C6+C11</f>
        <v>0</v>
      </c>
      <c r="D17" s="13">
        <f t="shared" si="2"/>
        <v>0</v>
      </c>
      <c r="E17" s="13">
        <f t="shared" si="2"/>
        <v>0</v>
      </c>
      <c r="F17" s="13">
        <f t="shared" si="2"/>
        <v>828128</v>
      </c>
      <c r="G17" s="13">
        <f t="shared" si="2"/>
        <v>0</v>
      </c>
      <c r="H17" s="13">
        <f t="shared" si="2"/>
        <v>828128</v>
      </c>
    </row>
    <row r="18" spans="1:8" ht="50.25" customHeight="1">
      <c r="A18" s="488" t="s">
        <v>34</v>
      </c>
      <c r="B18" s="488"/>
      <c r="C18" s="35" t="s">
        <v>8</v>
      </c>
      <c r="D18" s="35" t="s">
        <v>6</v>
      </c>
      <c r="E18" s="36" t="s">
        <v>9</v>
      </c>
      <c r="F18" s="35" t="s">
        <v>8</v>
      </c>
      <c r="G18" s="35" t="s">
        <v>6</v>
      </c>
      <c r="H18" s="36" t="s">
        <v>9</v>
      </c>
    </row>
    <row r="19" spans="1:8" s="14" customFormat="1" ht="15.75" customHeight="1">
      <c r="A19" s="11" t="s">
        <v>35</v>
      </c>
      <c r="B19" s="11" t="s">
        <v>36</v>
      </c>
      <c r="C19" s="13">
        <f aca="true" t="shared" si="3" ref="C19:H19">C20+C21+C22</f>
        <v>0</v>
      </c>
      <c r="D19" s="13">
        <f t="shared" si="3"/>
        <v>0</v>
      </c>
      <c r="E19" s="13">
        <f t="shared" si="3"/>
        <v>0</v>
      </c>
      <c r="F19" s="13">
        <f t="shared" si="3"/>
        <v>156585</v>
      </c>
      <c r="G19" s="13">
        <f t="shared" si="3"/>
        <v>0</v>
      </c>
      <c r="H19" s="13">
        <f t="shared" si="3"/>
        <v>156585</v>
      </c>
    </row>
    <row r="20" spans="1:8" ht="12.75">
      <c r="A20" s="37" t="s">
        <v>37</v>
      </c>
      <c r="B20" s="16" t="s">
        <v>38</v>
      </c>
      <c r="C20" s="29"/>
      <c r="D20" s="29"/>
      <c r="E20" s="18"/>
      <c r="F20" s="29"/>
      <c r="G20" s="29"/>
      <c r="H20" s="18">
        <f>G20+F20</f>
        <v>0</v>
      </c>
    </row>
    <row r="21" spans="1:8" ht="12.75">
      <c r="A21" s="38" t="s">
        <v>39</v>
      </c>
      <c r="B21" s="20" t="s">
        <v>40</v>
      </c>
      <c r="C21" s="30"/>
      <c r="D21" s="30"/>
      <c r="E21" s="22"/>
      <c r="F21" s="30">
        <v>156585</v>
      </c>
      <c r="G21" s="30"/>
      <c r="H21" s="22">
        <f>G21+F21</f>
        <v>156585</v>
      </c>
    </row>
    <row r="22" spans="1:8" ht="12.75">
      <c r="A22" s="39" t="s">
        <v>41</v>
      </c>
      <c r="B22" s="25" t="s">
        <v>42</v>
      </c>
      <c r="C22" s="32"/>
      <c r="D22" s="32"/>
      <c r="E22" s="27">
        <f>D22+C22</f>
        <v>0</v>
      </c>
      <c r="F22" s="32"/>
      <c r="G22" s="32"/>
      <c r="H22" s="27">
        <f>G22+F22</f>
        <v>0</v>
      </c>
    </row>
    <row r="23" spans="1:8" s="14" customFormat="1" ht="15.75" customHeight="1">
      <c r="A23" s="11" t="s">
        <v>43</v>
      </c>
      <c r="B23" s="11" t="s">
        <v>44</v>
      </c>
      <c r="C23" s="13">
        <f aca="true" t="shared" si="4" ref="C23:H23">C24+C25</f>
        <v>0</v>
      </c>
      <c r="D23" s="13">
        <f t="shared" si="4"/>
        <v>0</v>
      </c>
      <c r="E23" s="13">
        <f t="shared" si="4"/>
        <v>0</v>
      </c>
      <c r="F23" s="13">
        <f t="shared" si="4"/>
        <v>577799</v>
      </c>
      <c r="G23" s="13">
        <f t="shared" si="4"/>
        <v>0</v>
      </c>
      <c r="H23" s="13">
        <f t="shared" si="4"/>
        <v>577799</v>
      </c>
    </row>
    <row r="24" spans="1:8" ht="12.75">
      <c r="A24" s="37" t="s">
        <v>45</v>
      </c>
      <c r="B24" s="16" t="s">
        <v>46</v>
      </c>
      <c r="C24" s="29"/>
      <c r="D24" s="29"/>
      <c r="E24" s="18"/>
      <c r="F24" s="29">
        <v>577799</v>
      </c>
      <c r="G24" s="29"/>
      <c r="H24" s="18">
        <f>G24+F24</f>
        <v>577799</v>
      </c>
    </row>
    <row r="25" spans="1:8" ht="12.75">
      <c r="A25" s="39" t="s">
        <v>47</v>
      </c>
      <c r="B25" s="25" t="s">
        <v>48</v>
      </c>
      <c r="C25" s="32"/>
      <c r="D25" s="32"/>
      <c r="E25" s="27">
        <f>D25+C25</f>
        <v>0</v>
      </c>
      <c r="F25" s="32"/>
      <c r="G25" s="32"/>
      <c r="H25" s="27">
        <f>G25+F25</f>
        <v>0</v>
      </c>
    </row>
    <row r="26" spans="1:8" s="14" customFormat="1" ht="15.75" customHeight="1">
      <c r="A26" s="11" t="s">
        <v>49</v>
      </c>
      <c r="B26" s="11" t="s">
        <v>50</v>
      </c>
      <c r="C26" s="13">
        <f aca="true" t="shared" si="5" ref="C26:H26">SUM(C27:C29)</f>
        <v>0</v>
      </c>
      <c r="D26" s="13">
        <f t="shared" si="5"/>
        <v>0</v>
      </c>
      <c r="E26" s="13">
        <f t="shared" si="5"/>
        <v>0</v>
      </c>
      <c r="F26" s="13">
        <f t="shared" si="5"/>
        <v>93744</v>
      </c>
      <c r="G26" s="13">
        <f t="shared" si="5"/>
        <v>0</v>
      </c>
      <c r="H26" s="13">
        <f t="shared" si="5"/>
        <v>93744</v>
      </c>
    </row>
    <row r="27" spans="1:8" ht="12.75">
      <c r="A27" s="37" t="s">
        <v>51</v>
      </c>
      <c r="B27" s="16" t="s">
        <v>52</v>
      </c>
      <c r="C27" s="29"/>
      <c r="D27" s="29"/>
      <c r="E27" s="18"/>
      <c r="F27" s="29"/>
      <c r="G27" s="29"/>
      <c r="H27" s="18">
        <f>G27+F27</f>
        <v>0</v>
      </c>
    </row>
    <row r="28" spans="1:8" ht="12.75">
      <c r="A28" s="38" t="s">
        <v>53</v>
      </c>
      <c r="B28" s="20" t="s">
        <v>54</v>
      </c>
      <c r="C28" s="30"/>
      <c r="D28" s="30"/>
      <c r="E28" s="22"/>
      <c r="F28" s="30">
        <v>82044</v>
      </c>
      <c r="G28" s="30"/>
      <c r="H28" s="22">
        <f>G28+F28</f>
        <v>82044</v>
      </c>
    </row>
    <row r="29" spans="1:8" ht="12.75">
      <c r="A29" s="39" t="s">
        <v>55</v>
      </c>
      <c r="B29" s="25" t="s">
        <v>56</v>
      </c>
      <c r="C29" s="32"/>
      <c r="D29" s="32"/>
      <c r="E29" s="27"/>
      <c r="F29" s="32">
        <v>11700</v>
      </c>
      <c r="G29" s="32"/>
      <c r="H29" s="27">
        <f>G29+F29</f>
        <v>11700</v>
      </c>
    </row>
    <row r="30" spans="1:8" s="34" customFormat="1" ht="24" customHeight="1">
      <c r="A30" s="11" t="s">
        <v>57</v>
      </c>
      <c r="B30" s="33" t="s">
        <v>58</v>
      </c>
      <c r="C30" s="13">
        <f aca="true" t="shared" si="6" ref="C30:H30">C19+C23+C26</f>
        <v>0</v>
      </c>
      <c r="D30" s="13">
        <f t="shared" si="6"/>
        <v>0</v>
      </c>
      <c r="E30" s="13">
        <f t="shared" si="6"/>
        <v>0</v>
      </c>
      <c r="F30" s="13">
        <f t="shared" si="6"/>
        <v>828128</v>
      </c>
      <c r="G30" s="13">
        <f t="shared" si="6"/>
        <v>0</v>
      </c>
      <c r="H30" s="13">
        <f t="shared" si="6"/>
        <v>828128</v>
      </c>
    </row>
    <row r="31" ht="12.75">
      <c r="D31" s="40"/>
    </row>
    <row r="32" ht="12.75">
      <c r="D32" s="40"/>
    </row>
    <row r="33" spans="1:8" ht="12.75">
      <c r="A33" s="41"/>
      <c r="B33" s="41"/>
      <c r="C33" s="41"/>
      <c r="D33" s="41"/>
      <c r="E33" s="41"/>
      <c r="F33" s="41"/>
      <c r="G33" s="41"/>
      <c r="H33" s="41"/>
    </row>
    <row r="34" spans="1:8" ht="12.75">
      <c r="A34" s="41"/>
      <c r="B34" s="41"/>
      <c r="C34" s="41"/>
      <c r="D34" s="41"/>
      <c r="E34" s="41"/>
      <c r="F34" s="41"/>
      <c r="G34" s="41"/>
      <c r="H34" s="41"/>
    </row>
    <row r="35" spans="1:8" ht="12.75">
      <c r="A35" s="41"/>
      <c r="B35" s="41"/>
      <c r="C35" s="484"/>
      <c r="D35" s="484"/>
      <c r="E35" s="41"/>
      <c r="F35" s="484"/>
      <c r="G35" s="484"/>
      <c r="H35" s="41"/>
    </row>
    <row r="36" spans="1:8" ht="12.75">
      <c r="A36" s="41"/>
      <c r="B36" s="41"/>
      <c r="C36" s="484"/>
      <c r="D36" s="484"/>
      <c r="E36" s="41"/>
      <c r="F36" s="484"/>
      <c r="G36" s="484"/>
      <c r="H36" s="41"/>
    </row>
    <row r="37" spans="1:8" ht="12.75">
      <c r="A37" s="41"/>
      <c r="B37" s="41"/>
      <c r="C37" s="41"/>
      <c r="D37" s="41"/>
      <c r="E37" s="41"/>
      <c r="F37" s="484"/>
      <c r="G37" s="484"/>
      <c r="H37" s="41"/>
    </row>
    <row r="38" ht="12.75">
      <c r="D38" s="40"/>
    </row>
    <row r="39" ht="12.75">
      <c r="D39" s="40"/>
    </row>
    <row r="40" ht="12.75">
      <c r="D40" s="40"/>
    </row>
    <row r="41" ht="12.75">
      <c r="D41" s="40"/>
    </row>
    <row r="42" ht="12.75">
      <c r="D42" s="40"/>
    </row>
    <row r="43" ht="12.75">
      <c r="D43" s="40"/>
    </row>
    <row r="44" ht="12.75">
      <c r="D44" s="40"/>
    </row>
    <row r="45" ht="12.75">
      <c r="D45" s="40"/>
    </row>
    <row r="46" ht="12.75">
      <c r="D46" s="40"/>
    </row>
    <row r="47" ht="12.75">
      <c r="D47" s="40"/>
    </row>
  </sheetData>
  <sheetProtection selectLockedCells="1" selectUnlockedCells="1"/>
  <mergeCells count="9">
    <mergeCell ref="A2:H2"/>
    <mergeCell ref="A3:H3"/>
    <mergeCell ref="A5:B5"/>
    <mergeCell ref="A18:B18"/>
    <mergeCell ref="F37:G37"/>
    <mergeCell ref="C35:D35"/>
    <mergeCell ref="F35:G35"/>
    <mergeCell ref="C36:D36"/>
    <mergeCell ref="F36:G36"/>
  </mergeCells>
  <printOptions horizontalCentered="1"/>
  <pageMargins left="0.19652777777777777" right="0.19652777777777777" top="0.42986111111111114" bottom="0.5" header="0.5118055555555555" footer="0.5118055555555555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H64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41" customWidth="1"/>
    <col min="2" max="2" width="51.00390625" style="41" customWidth="1"/>
    <col min="3" max="5" width="13.7109375" style="41" customWidth="1"/>
    <col min="6" max="16384" width="8.00390625" style="41" customWidth="1"/>
  </cols>
  <sheetData>
    <row r="1" ht="12.75">
      <c r="E1" s="4" t="s">
        <v>363</v>
      </c>
    </row>
    <row r="2" spans="1:8" s="276" customFormat="1" ht="17.25" customHeight="1">
      <c r="A2" s="527" t="s">
        <v>362</v>
      </c>
      <c r="B2" s="527"/>
      <c r="C2" s="527"/>
      <c r="D2" s="527"/>
      <c r="E2" s="527"/>
      <c r="F2" s="275"/>
      <c r="G2" s="275"/>
      <c r="H2" s="275"/>
    </row>
    <row r="3" spans="1:5" s="276" customFormat="1" ht="15.75" customHeight="1">
      <c r="A3" s="528" t="s">
        <v>365</v>
      </c>
      <c r="B3" s="528"/>
      <c r="C3" s="528"/>
      <c r="D3" s="528"/>
      <c r="E3" s="528"/>
    </row>
    <row r="4" spans="1:5" s="276" customFormat="1" ht="18.75" customHeight="1">
      <c r="A4" s="527"/>
      <c r="B4" s="527"/>
      <c r="C4" s="527"/>
      <c r="D4" s="527"/>
      <c r="E4" s="527"/>
    </row>
    <row r="5" spans="1:5" ht="13.5" customHeight="1">
      <c r="A5" s="529" t="s">
        <v>3</v>
      </c>
      <c r="B5" s="529"/>
      <c r="C5" s="529"/>
      <c r="D5" s="529"/>
      <c r="E5" s="529"/>
    </row>
    <row r="6" spans="1:5" s="278" customFormat="1" ht="28.5" customHeight="1">
      <c r="A6" s="523" t="s">
        <v>60</v>
      </c>
      <c r="B6" s="524" t="s">
        <v>61</v>
      </c>
      <c r="C6" s="277" t="s">
        <v>62</v>
      </c>
      <c r="D6" s="277" t="s">
        <v>63</v>
      </c>
      <c r="E6" s="525" t="s">
        <v>64</v>
      </c>
    </row>
    <row r="7" spans="1:5" s="278" customFormat="1" ht="12.75" customHeight="1">
      <c r="A7" s="523"/>
      <c r="B7" s="524"/>
      <c r="C7" s="526" t="s">
        <v>65</v>
      </c>
      <c r="D7" s="526"/>
      <c r="E7" s="525"/>
    </row>
    <row r="8" spans="1:5" s="282" customFormat="1" ht="15" customHeight="1">
      <c r="A8" s="279">
        <v>1</v>
      </c>
      <c r="B8" s="280">
        <v>2</v>
      </c>
      <c r="C8" s="280">
        <v>3</v>
      </c>
      <c r="D8" s="280">
        <v>4</v>
      </c>
      <c r="E8" s="281">
        <v>5</v>
      </c>
    </row>
    <row r="9" spans="1:5" s="282" customFormat="1" ht="12.75">
      <c r="A9" s="283">
        <v>1</v>
      </c>
      <c r="B9" s="284" t="s">
        <v>66</v>
      </c>
      <c r="C9" s="285">
        <v>62634</v>
      </c>
      <c r="D9" s="285">
        <v>75433</v>
      </c>
      <c r="E9" s="286">
        <v>55694</v>
      </c>
    </row>
    <row r="10" spans="1:5" s="282" customFormat="1" ht="12.75">
      <c r="A10" s="287">
        <v>2</v>
      </c>
      <c r="B10" s="288" t="s">
        <v>67</v>
      </c>
      <c r="C10" s="289">
        <v>18199</v>
      </c>
      <c r="D10" s="289">
        <v>21971</v>
      </c>
      <c r="E10" s="290">
        <v>15395</v>
      </c>
    </row>
    <row r="11" spans="1:5" s="282" customFormat="1" ht="12.75">
      <c r="A11" s="287">
        <v>3</v>
      </c>
      <c r="B11" s="288" t="s">
        <v>68</v>
      </c>
      <c r="C11" s="289">
        <v>252713</v>
      </c>
      <c r="D11" s="289">
        <v>256527</v>
      </c>
      <c r="E11" s="290">
        <v>101827</v>
      </c>
    </row>
    <row r="12" spans="1:5" s="282" customFormat="1" ht="12.75">
      <c r="A12" s="287">
        <v>4</v>
      </c>
      <c r="B12" s="288" t="s">
        <v>69</v>
      </c>
      <c r="C12" s="289"/>
      <c r="D12" s="289">
        <v>75209</v>
      </c>
      <c r="E12" s="290">
        <v>6000</v>
      </c>
    </row>
    <row r="13" spans="1:5" s="282" customFormat="1" ht="12.75">
      <c r="A13" s="287">
        <v>5</v>
      </c>
      <c r="B13" s="288" t="s">
        <v>70</v>
      </c>
      <c r="C13" s="289"/>
      <c r="D13" s="289"/>
      <c r="E13" s="290"/>
    </row>
    <row r="14" spans="1:5" s="282" customFormat="1" ht="12.75">
      <c r="A14" s="287">
        <v>6</v>
      </c>
      <c r="B14" s="288" t="s">
        <v>71</v>
      </c>
      <c r="C14" s="289"/>
      <c r="D14" s="289"/>
      <c r="E14" s="290"/>
    </row>
    <row r="15" spans="1:5" s="282" customFormat="1" ht="12.75">
      <c r="A15" s="287">
        <v>7</v>
      </c>
      <c r="B15" s="288" t="s">
        <v>72</v>
      </c>
      <c r="C15" s="289"/>
      <c r="D15" s="289">
        <v>14500</v>
      </c>
      <c r="E15" s="290">
        <v>32192</v>
      </c>
    </row>
    <row r="16" spans="1:5" s="282" customFormat="1" ht="12.75">
      <c r="A16" s="291">
        <v>8</v>
      </c>
      <c r="B16" s="292" t="s">
        <v>73</v>
      </c>
      <c r="C16" s="293">
        <v>670435</v>
      </c>
      <c r="D16" s="293">
        <v>679802</v>
      </c>
      <c r="E16" s="294">
        <v>149645</v>
      </c>
    </row>
    <row r="17" spans="1:5" s="282" customFormat="1" ht="12.75">
      <c r="A17" s="287">
        <v>9</v>
      </c>
      <c r="B17" s="288" t="s">
        <v>74</v>
      </c>
      <c r="C17" s="289"/>
      <c r="D17" s="289"/>
      <c r="E17" s="290"/>
    </row>
    <row r="18" spans="1:5" s="282" customFormat="1" ht="12.75">
      <c r="A18" s="291">
        <v>10</v>
      </c>
      <c r="B18" s="288" t="s">
        <v>75</v>
      </c>
      <c r="C18" s="289"/>
      <c r="D18" s="289"/>
      <c r="E18" s="290"/>
    </row>
    <row r="19" spans="1:5" s="282" customFormat="1" ht="12.75">
      <c r="A19" s="287">
        <v>11</v>
      </c>
      <c r="B19" s="288" t="s">
        <v>76</v>
      </c>
      <c r="C19" s="289"/>
      <c r="D19" s="289"/>
      <c r="E19" s="290"/>
    </row>
    <row r="20" spans="1:5" s="282" customFormat="1" ht="12.75">
      <c r="A20" s="291">
        <v>12</v>
      </c>
      <c r="B20" s="288" t="s">
        <v>77</v>
      </c>
      <c r="C20" s="293">
        <v>72296</v>
      </c>
      <c r="D20" s="293">
        <v>72296</v>
      </c>
      <c r="E20" s="294">
        <v>62784</v>
      </c>
    </row>
    <row r="21" spans="1:5" s="299" customFormat="1" ht="13.5">
      <c r="A21" s="295">
        <v>13</v>
      </c>
      <c r="B21" s="296" t="s">
        <v>78</v>
      </c>
      <c r="C21" s="297">
        <f>SUM(C9:C20)</f>
        <v>1076277</v>
      </c>
      <c r="D21" s="297">
        <f>SUM(D9:D20)</f>
        <v>1195738</v>
      </c>
      <c r="E21" s="298">
        <f>SUM(E9:E20)</f>
        <v>423537</v>
      </c>
    </row>
    <row r="22" spans="1:5" s="299" customFormat="1" ht="13.5">
      <c r="A22" s="283">
        <v>14</v>
      </c>
      <c r="B22" s="284" t="s">
        <v>79</v>
      </c>
      <c r="C22" s="300"/>
      <c r="D22" s="300"/>
      <c r="E22" s="301"/>
    </row>
    <row r="23" spans="1:5" s="299" customFormat="1" ht="13.5">
      <c r="A23" s="291">
        <v>15</v>
      </c>
      <c r="B23" s="292" t="s">
        <v>80</v>
      </c>
      <c r="C23" s="302"/>
      <c r="D23" s="302"/>
      <c r="E23" s="303"/>
    </row>
    <row r="24" spans="1:5" s="299" customFormat="1" ht="13.5">
      <c r="A24" s="291">
        <v>16</v>
      </c>
      <c r="B24" s="292" t="s">
        <v>81</v>
      </c>
      <c r="C24" s="302"/>
      <c r="D24" s="302"/>
      <c r="E24" s="303"/>
    </row>
    <row r="25" spans="1:5" s="299" customFormat="1" ht="13.5">
      <c r="A25" s="291">
        <v>17</v>
      </c>
      <c r="B25" s="292" t="s">
        <v>82</v>
      </c>
      <c r="C25" s="302"/>
      <c r="D25" s="302"/>
      <c r="E25" s="303"/>
    </row>
    <row r="26" spans="1:5" s="299" customFormat="1" ht="13.5">
      <c r="A26" s="295">
        <v>18</v>
      </c>
      <c r="B26" s="296" t="s">
        <v>83</v>
      </c>
      <c r="C26" s="297">
        <f>SUM(C22:C25)</f>
        <v>0</v>
      </c>
      <c r="D26" s="297">
        <f>SUM(D22:D25)</f>
        <v>0</v>
      </c>
      <c r="E26" s="298">
        <f>SUM(E22:E25)</f>
        <v>0</v>
      </c>
    </row>
    <row r="27" spans="1:5" s="299" customFormat="1" ht="13.5">
      <c r="A27" s="295">
        <v>19</v>
      </c>
      <c r="B27" s="296" t="s">
        <v>84</v>
      </c>
      <c r="C27" s="297">
        <f>C21+C26</f>
        <v>1076277</v>
      </c>
      <c r="D27" s="297">
        <f>D21+D26</f>
        <v>1195738</v>
      </c>
      <c r="E27" s="298">
        <f>E21+E26</f>
        <v>423537</v>
      </c>
    </row>
    <row r="28" spans="1:5" s="282" customFormat="1" ht="12.75">
      <c r="A28" s="283">
        <v>20</v>
      </c>
      <c r="B28" s="284" t="s">
        <v>85</v>
      </c>
      <c r="C28" s="300"/>
      <c r="D28" s="300"/>
      <c r="E28" s="301"/>
    </row>
    <row r="29" spans="1:5" s="282" customFormat="1" ht="12.75">
      <c r="A29" s="287">
        <v>21</v>
      </c>
      <c r="B29" s="288" t="s">
        <v>86</v>
      </c>
      <c r="C29" s="304"/>
      <c r="D29" s="304"/>
      <c r="E29" s="305"/>
    </row>
    <row r="30" spans="1:5" s="282" customFormat="1" ht="12.75">
      <c r="A30" s="291">
        <v>22</v>
      </c>
      <c r="B30" s="292" t="s">
        <v>87</v>
      </c>
      <c r="C30" s="304"/>
      <c r="D30" s="304"/>
      <c r="E30" s="303">
        <v>130</v>
      </c>
    </row>
    <row r="31" spans="1:5" s="299" customFormat="1" ht="13.5">
      <c r="A31" s="295">
        <v>23</v>
      </c>
      <c r="B31" s="296" t="s">
        <v>88</v>
      </c>
      <c r="C31" s="297">
        <f>SUM(C27:C30)</f>
        <v>1076277</v>
      </c>
      <c r="D31" s="297">
        <f>SUM(D27:D30)</f>
        <v>1195738</v>
      </c>
      <c r="E31" s="298">
        <f>SUM(E27:E30)</f>
        <v>423667</v>
      </c>
    </row>
    <row r="32" spans="1:5" s="282" customFormat="1" ht="12.75">
      <c r="A32" s="283">
        <v>24</v>
      </c>
      <c r="B32" s="284" t="s">
        <v>89</v>
      </c>
      <c r="C32" s="300">
        <v>500</v>
      </c>
      <c r="D32" s="300">
        <v>23272</v>
      </c>
      <c r="E32" s="301">
        <v>22621</v>
      </c>
    </row>
    <row r="33" spans="1:5" s="282" customFormat="1" ht="12.75">
      <c r="A33" s="287">
        <v>25</v>
      </c>
      <c r="B33" s="288" t="s">
        <v>90</v>
      </c>
      <c r="C33" s="306"/>
      <c r="D33" s="306"/>
      <c r="E33" s="305"/>
    </row>
    <row r="34" spans="1:5" s="282" customFormat="1" ht="12.75">
      <c r="A34" s="287">
        <v>26</v>
      </c>
      <c r="B34" s="288" t="s">
        <v>91</v>
      </c>
      <c r="C34" s="306">
        <v>405342</v>
      </c>
      <c r="D34" s="306">
        <f>399234+93630</f>
        <v>492864</v>
      </c>
      <c r="E34" s="305">
        <f>180332+8347</f>
        <v>188679</v>
      </c>
    </row>
    <row r="35" spans="1:5" s="282" customFormat="1" ht="12.75">
      <c r="A35" s="287">
        <v>27</v>
      </c>
      <c r="B35" s="288" t="s">
        <v>92</v>
      </c>
      <c r="C35" s="306"/>
      <c r="D35" s="306"/>
      <c r="E35" s="305"/>
    </row>
    <row r="36" spans="1:5" s="282" customFormat="1" ht="12.75">
      <c r="A36" s="287">
        <v>28</v>
      </c>
      <c r="B36" s="288" t="s">
        <v>93</v>
      </c>
      <c r="C36" s="306"/>
      <c r="D36" s="306"/>
      <c r="E36" s="305"/>
    </row>
    <row r="37" spans="1:5" s="282" customFormat="1" ht="12.75">
      <c r="A37" s="287">
        <v>29</v>
      </c>
      <c r="B37" s="288" t="s">
        <v>94</v>
      </c>
      <c r="C37" s="306"/>
      <c r="D37" s="306"/>
      <c r="E37" s="305"/>
    </row>
    <row r="38" spans="1:5" s="282" customFormat="1" ht="12.75">
      <c r="A38" s="287">
        <v>30</v>
      </c>
      <c r="B38" s="288" t="s">
        <v>95</v>
      </c>
      <c r="C38" s="306">
        <v>670435</v>
      </c>
      <c r="D38" s="306">
        <v>679602</v>
      </c>
      <c r="E38" s="305">
        <v>521385</v>
      </c>
    </row>
    <row r="39" spans="1:5" s="282" customFormat="1" ht="12.75">
      <c r="A39" s="291">
        <v>31</v>
      </c>
      <c r="B39" s="288" t="s">
        <v>96</v>
      </c>
      <c r="C39" s="302"/>
      <c r="D39" s="302"/>
      <c r="E39" s="303">
        <v>166082</v>
      </c>
    </row>
    <row r="40" spans="1:5" s="282" customFormat="1" ht="12.75">
      <c r="A40" s="287">
        <v>32</v>
      </c>
      <c r="B40" s="288" t="s">
        <v>97</v>
      </c>
      <c r="C40" s="306"/>
      <c r="D40" s="306"/>
      <c r="E40" s="305"/>
    </row>
    <row r="41" spans="1:5" s="282" customFormat="1" ht="12.75">
      <c r="A41" s="291">
        <v>33</v>
      </c>
      <c r="B41" s="288" t="s">
        <v>98</v>
      </c>
      <c r="C41" s="302"/>
      <c r="D41" s="302"/>
      <c r="E41" s="303"/>
    </row>
    <row r="42" spans="1:5" s="282" customFormat="1" ht="12.75">
      <c r="A42" s="287">
        <v>34</v>
      </c>
      <c r="B42" s="284" t="s">
        <v>99</v>
      </c>
      <c r="C42" s="306"/>
      <c r="D42" s="306"/>
      <c r="E42" s="305"/>
    </row>
    <row r="43" spans="1:5" s="282" customFormat="1" ht="12.75">
      <c r="A43" s="291">
        <v>35</v>
      </c>
      <c r="B43" s="284" t="s">
        <v>100</v>
      </c>
      <c r="C43" s="302"/>
      <c r="D43" s="302"/>
      <c r="E43" s="303">
        <v>7907</v>
      </c>
    </row>
    <row r="44" spans="1:5" s="282" customFormat="1" ht="20.25">
      <c r="A44" s="295">
        <v>36</v>
      </c>
      <c r="B44" s="296" t="s">
        <v>101</v>
      </c>
      <c r="C44" s="307">
        <f>C32+C33+C34+C35+C36+C38+C39+C40+C42+C43</f>
        <v>1076277</v>
      </c>
      <c r="D44" s="307">
        <f>D32+D33+D34+D35+D36+D38+D39+D40+D42+D43</f>
        <v>1195738</v>
      </c>
      <c r="E44" s="308">
        <f>E32+E33+E34+E35+E36+E38+E39+E40+E42+E43</f>
        <v>906674</v>
      </c>
    </row>
    <row r="45" spans="1:5" s="282" customFormat="1" ht="12.75">
      <c r="A45" s="283">
        <v>37</v>
      </c>
      <c r="B45" s="284" t="s">
        <v>102</v>
      </c>
      <c r="C45" s="300"/>
      <c r="D45" s="300"/>
      <c r="E45" s="301"/>
    </row>
    <row r="46" spans="1:5" s="282" customFormat="1" ht="12.75">
      <c r="A46" s="291">
        <v>38</v>
      </c>
      <c r="B46" s="284" t="s">
        <v>103</v>
      </c>
      <c r="C46" s="306"/>
      <c r="D46" s="306"/>
      <c r="E46" s="305"/>
    </row>
    <row r="47" spans="1:5" s="282" customFormat="1" ht="12.75">
      <c r="A47" s="283">
        <v>39</v>
      </c>
      <c r="B47" s="292" t="s">
        <v>104</v>
      </c>
      <c r="C47" s="300"/>
      <c r="D47" s="300"/>
      <c r="E47" s="301"/>
    </row>
    <row r="48" spans="1:5" s="282" customFormat="1" ht="12.75">
      <c r="A48" s="291">
        <v>40</v>
      </c>
      <c r="B48" s="292" t="s">
        <v>105</v>
      </c>
      <c r="C48" s="302"/>
      <c r="D48" s="302"/>
      <c r="E48" s="303"/>
    </row>
    <row r="49" spans="1:5" s="282" customFormat="1" ht="12.75">
      <c r="A49" s="309">
        <v>41</v>
      </c>
      <c r="B49" s="310" t="s">
        <v>106</v>
      </c>
      <c r="C49" s="311">
        <f>SUM(C45:C48)</f>
        <v>0</v>
      </c>
      <c r="D49" s="311">
        <f>SUM(D45:D48)</f>
        <v>0</v>
      </c>
      <c r="E49" s="312">
        <f>SUM(E45:E48)</f>
        <v>0</v>
      </c>
    </row>
    <row r="50" spans="1:5" s="299" customFormat="1" ht="13.5">
      <c r="A50" s="313">
        <v>42</v>
      </c>
      <c r="B50" s="314" t="s">
        <v>107</v>
      </c>
      <c r="C50" s="315">
        <f>C44+C49</f>
        <v>1076277</v>
      </c>
      <c r="D50" s="315">
        <f>D44+D49</f>
        <v>1195738</v>
      </c>
      <c r="E50" s="316">
        <f>E44+E49</f>
        <v>906674</v>
      </c>
    </row>
    <row r="51" spans="1:5" s="282" customFormat="1" ht="12.75">
      <c r="A51" s="283">
        <v>43</v>
      </c>
      <c r="B51" s="284" t="s">
        <v>108</v>
      </c>
      <c r="C51" s="300"/>
      <c r="D51" s="300"/>
      <c r="E51" s="301">
        <v>94662</v>
      </c>
    </row>
    <row r="52" spans="1:5" s="282" customFormat="1" ht="12.75">
      <c r="A52" s="291">
        <v>44</v>
      </c>
      <c r="B52" s="288" t="s">
        <v>109</v>
      </c>
      <c r="C52" s="304"/>
      <c r="D52" s="304"/>
      <c r="E52" s="303"/>
    </row>
    <row r="53" spans="1:5" s="282" customFormat="1" ht="12.75">
      <c r="A53" s="291">
        <v>45</v>
      </c>
      <c r="B53" s="292" t="s">
        <v>110</v>
      </c>
      <c r="C53" s="317"/>
      <c r="D53" s="317"/>
      <c r="E53" s="303">
        <v>11700</v>
      </c>
    </row>
    <row r="54" spans="1:5" s="282" customFormat="1" ht="12.75">
      <c r="A54" s="318">
        <v>46</v>
      </c>
      <c r="B54" s="319" t="s">
        <v>111</v>
      </c>
      <c r="C54" s="307">
        <f>SUM(C50:C53)</f>
        <v>1076277</v>
      </c>
      <c r="D54" s="307">
        <f>SUM(D50:D53)</f>
        <v>1195738</v>
      </c>
      <c r="E54" s="320">
        <f>SUM(E50:E53)</f>
        <v>1013036</v>
      </c>
    </row>
    <row r="55" spans="1:5" s="282" customFormat="1" ht="20.25">
      <c r="A55" s="295">
        <v>47</v>
      </c>
      <c r="B55" s="296" t="s">
        <v>112</v>
      </c>
      <c r="C55" s="307">
        <f>C44+C51-C21-C28</f>
        <v>0</v>
      </c>
      <c r="D55" s="307">
        <f>D44+D51-D21-D28</f>
        <v>0</v>
      </c>
      <c r="E55" s="308">
        <f>E44+E51-E21-E28</f>
        <v>577799</v>
      </c>
    </row>
    <row r="56" spans="1:5" s="282" customFormat="1" ht="12.75">
      <c r="A56" s="321">
        <v>48</v>
      </c>
      <c r="B56" s="322" t="s">
        <v>113</v>
      </c>
      <c r="C56" s="323">
        <f>C49-C26</f>
        <v>0</v>
      </c>
      <c r="D56" s="323">
        <f>D49-D26</f>
        <v>0</v>
      </c>
      <c r="E56" s="324">
        <f>E49-E26</f>
        <v>0</v>
      </c>
    </row>
    <row r="57" spans="1:5" s="282" customFormat="1" ht="12.75">
      <c r="A57" s="321">
        <v>49</v>
      </c>
      <c r="B57" s="322" t="s">
        <v>114</v>
      </c>
      <c r="C57" s="325"/>
      <c r="D57" s="325"/>
      <c r="E57" s="324">
        <f>E52-E29</f>
        <v>0</v>
      </c>
    </row>
    <row r="58" spans="1:5" s="282" customFormat="1" ht="12.75">
      <c r="A58" s="321">
        <v>50</v>
      </c>
      <c r="B58" s="322" t="s">
        <v>115</v>
      </c>
      <c r="C58" s="325"/>
      <c r="D58" s="325"/>
      <c r="E58" s="324">
        <f>E53-E30</f>
        <v>11570</v>
      </c>
    </row>
    <row r="59" ht="15">
      <c r="B59" s="83"/>
    </row>
    <row r="61" spans="3:4" ht="12.75">
      <c r="C61" s="84"/>
      <c r="D61" s="326"/>
    </row>
    <row r="62" spans="2:7" ht="12.75">
      <c r="B62" s="4"/>
      <c r="C62" s="84"/>
      <c r="D62" s="484"/>
      <c r="E62" s="484"/>
      <c r="G62" s="326"/>
    </row>
    <row r="63" spans="2:7" ht="12.75">
      <c r="B63" s="86"/>
      <c r="D63" s="484"/>
      <c r="E63" s="484"/>
      <c r="G63" s="326"/>
    </row>
    <row r="64" spans="4:5" ht="12.75">
      <c r="D64" s="484"/>
      <c r="E64" s="484"/>
    </row>
  </sheetData>
  <sheetProtection selectLockedCells="1" selectUnlockedCells="1"/>
  <mergeCells count="11">
    <mergeCell ref="A2:E2"/>
    <mergeCell ref="A3:E3"/>
    <mergeCell ref="A4:E4"/>
    <mergeCell ref="A5:E5"/>
    <mergeCell ref="D62:E62"/>
    <mergeCell ref="D63:E63"/>
    <mergeCell ref="D64:E64"/>
    <mergeCell ref="A6:A7"/>
    <mergeCell ref="B6:B7"/>
    <mergeCell ref="E6:E7"/>
    <mergeCell ref="C7:D7"/>
  </mergeCells>
  <printOptions horizontalCentered="1"/>
  <pageMargins left="0.25" right="0.32013888888888886" top="0.7201388888888889" bottom="0.9840277777777777" header="0.5118055555555555" footer="0.5118055555555555"/>
  <pageSetup horizontalDpi="300" verticalDpi="3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Szolnok Megyei Jogú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Nikoletta</dc:creator>
  <cp:keywords/>
  <dc:description/>
  <cp:lastModifiedBy>Bódi Ilona</cp:lastModifiedBy>
  <cp:lastPrinted>2010-04-29T10:44:55Z</cp:lastPrinted>
  <dcterms:created xsi:type="dcterms:W3CDTF">2010-04-15T10:43:21Z</dcterms:created>
  <dcterms:modified xsi:type="dcterms:W3CDTF">2010-04-29T10:45:07Z</dcterms:modified>
  <cp:category/>
  <cp:version/>
  <cp:contentType/>
  <cp:contentStatus/>
</cp:coreProperties>
</file>